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4240" windowHeight="11925"/>
  </bookViews>
  <sheets>
    <sheet name="①基礎情報" sheetId="9" r:id="rId1"/>
    <sheet name="②職務経歴概要" sheetId="5" r:id="rId2"/>
    <sheet name="③売上・原価" sheetId="3" r:id="rId3"/>
    <sheet name="④人件費" sheetId="2" r:id="rId4"/>
    <sheet name="⑤初期投資一覧表" sheetId="8" r:id="rId5"/>
    <sheet name="⑥設備一覧表" sheetId="7" r:id="rId6"/>
    <sheet name="⑦損益シミュレーション" sheetId="4" r:id="rId7"/>
    <sheet name="⑧資金シミュレーション " sheetId="6" r:id="rId8"/>
  </sheets>
  <definedNames>
    <definedName name="_xlnm.Print_Area" localSheetId="0">①基礎情報!$A$2:$H$10</definedName>
    <definedName name="_xlnm.Print_Area" localSheetId="1">②職務経歴概要!$A$1:$AR$27</definedName>
    <definedName name="_xlnm.Print_Area" localSheetId="2">③売上・原価!$A$2:$P$72</definedName>
    <definedName name="_xlnm.Print_Area" localSheetId="3">④人件費!$A$2:$J$16</definedName>
    <definedName name="_xlnm.Print_Area" localSheetId="4">⑤初期投資一覧表!$A$1:$G$33</definedName>
    <definedName name="_xlnm.Print_Area" localSheetId="5">⑥設備一覧表!$A$1:$N$19</definedName>
    <definedName name="_xlnm.Print_Area" localSheetId="6">⑦損益シミュレーション!$B$2:$V$43</definedName>
    <definedName name="_xlnm.Print_Area" localSheetId="7">'⑧資金シミュレーション '!$A$2:$W$46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7" l="1"/>
  <c r="K14" i="7"/>
  <c r="K13" i="7"/>
  <c r="K12" i="7"/>
  <c r="K11" i="7"/>
  <c r="K10" i="7"/>
  <c r="K9" i="7"/>
  <c r="K8" i="7"/>
  <c r="K7" i="7"/>
  <c r="H15" i="7" l="1"/>
  <c r="L14" i="7"/>
  <c r="L13" i="7"/>
  <c r="L12" i="7"/>
  <c r="L11" i="7"/>
  <c r="L10" i="7"/>
  <c r="L9" i="7"/>
  <c r="L8" i="7"/>
  <c r="L7" i="7"/>
  <c r="L65" i="3" l="1"/>
  <c r="L64" i="3"/>
  <c r="L63" i="3"/>
  <c r="L62" i="3"/>
  <c r="L61" i="3"/>
  <c r="L60" i="3"/>
  <c r="L59" i="3"/>
  <c r="J65" i="3"/>
  <c r="J64" i="3"/>
  <c r="J63" i="3"/>
  <c r="J62" i="3"/>
  <c r="J61" i="3"/>
  <c r="J60" i="3"/>
  <c r="J59" i="3"/>
  <c r="F15" i="7"/>
  <c r="D25" i="8"/>
  <c r="D30" i="8"/>
  <c r="D32" i="8" s="1"/>
  <c r="C15" i="7" l="1"/>
  <c r="G15" i="7"/>
  <c r="G14" i="6"/>
  <c r="G15" i="6" s="1"/>
  <c r="V10" i="6"/>
  <c r="N10" i="6"/>
  <c r="J10" i="6"/>
  <c r="W9" i="6"/>
  <c r="W10" i="6" s="1"/>
  <c r="V9" i="6"/>
  <c r="U9" i="6"/>
  <c r="U10" i="6" s="1"/>
  <c r="T9" i="6"/>
  <c r="T10" i="6" s="1"/>
  <c r="S9" i="6"/>
  <c r="S10" i="6" s="1"/>
  <c r="R9" i="6"/>
  <c r="R10" i="6" s="1"/>
  <c r="Q9" i="6"/>
  <c r="Q10" i="6" s="1"/>
  <c r="P9" i="6"/>
  <c r="P10" i="6" s="1"/>
  <c r="O9" i="6"/>
  <c r="O10" i="6" s="1"/>
  <c r="N9" i="6"/>
  <c r="M9" i="6"/>
  <c r="M10" i="6" s="1"/>
  <c r="L9" i="6"/>
  <c r="L10" i="6" s="1"/>
  <c r="K9" i="6"/>
  <c r="K10" i="6" s="1"/>
  <c r="J9" i="6"/>
  <c r="I9" i="6"/>
  <c r="I10" i="6" s="1"/>
  <c r="H9" i="6"/>
  <c r="H10" i="6" s="1"/>
  <c r="G9" i="6"/>
  <c r="G10" i="6" s="1"/>
  <c r="E9" i="4"/>
  <c r="T66" i="3"/>
  <c r="AI66" i="3" s="1"/>
  <c r="AJ66" i="3" s="1"/>
  <c r="AK66" i="3" s="1"/>
  <c r="T65" i="3"/>
  <c r="AH65" i="3" s="1"/>
  <c r="T64" i="3"/>
  <c r="AG64" i="3" s="1"/>
  <c r="T63" i="3"/>
  <c r="AF63" i="3" s="1"/>
  <c r="AG63" i="3" s="1"/>
  <c r="AH63" i="3" s="1"/>
  <c r="AI63" i="3" s="1"/>
  <c r="AJ63" i="3" s="1"/>
  <c r="AK63" i="3" s="1"/>
  <c r="T62" i="3"/>
  <c r="AE62" i="3" s="1"/>
  <c r="T61" i="3"/>
  <c r="AD61" i="3" s="1"/>
  <c r="T60" i="3"/>
  <c r="T59" i="3"/>
  <c r="AB59" i="3" s="1"/>
  <c r="T57" i="3"/>
  <c r="Z57" i="3" s="1"/>
  <c r="L14" i="6" s="1"/>
  <c r="S66" i="3"/>
  <c r="AD66" i="3" s="1"/>
  <c r="S65" i="3"/>
  <c r="AC65" i="3" s="1"/>
  <c r="S64" i="3"/>
  <c r="AB64" i="3" s="1"/>
  <c r="S63" i="3"/>
  <c r="AA63" i="3" s="1"/>
  <c r="S62" i="3"/>
  <c r="Z62" i="3" s="1"/>
  <c r="S61" i="3"/>
  <c r="Y61" i="3" s="1"/>
  <c r="S60" i="3"/>
  <c r="X60" i="3" s="1"/>
  <c r="S59" i="3"/>
  <c r="W59" i="3" s="1"/>
  <c r="S58" i="3"/>
  <c r="S57" i="3"/>
  <c r="U57" i="3" s="1"/>
  <c r="U68" i="3" s="1"/>
  <c r="F67" i="3"/>
  <c r="AC60" i="3"/>
  <c r="V20" i="4"/>
  <c r="E7" i="4"/>
  <c r="C11" i="7"/>
  <c r="C12" i="7"/>
  <c r="C13" i="7"/>
  <c r="C14" i="7"/>
  <c r="C5" i="7"/>
  <c r="C6" i="7"/>
  <c r="C7" i="7"/>
  <c r="C8" i="7"/>
  <c r="H8" i="7" s="1"/>
  <c r="C9" i="7"/>
  <c r="C10" i="7"/>
  <c r="F6" i="7"/>
  <c r="F7" i="7"/>
  <c r="F8" i="7"/>
  <c r="F9" i="7"/>
  <c r="F10" i="7"/>
  <c r="G10" i="7" s="1"/>
  <c r="F11" i="7"/>
  <c r="G11" i="7" s="1"/>
  <c r="F12" i="7"/>
  <c r="H12" i="7" s="1"/>
  <c r="F13" i="7"/>
  <c r="H13" i="7" s="1"/>
  <c r="F14" i="7"/>
  <c r="G14" i="7" s="1"/>
  <c r="F5" i="7"/>
  <c r="C6" i="9"/>
  <c r="G1" i="9"/>
  <c r="V2" i="4" s="1"/>
  <c r="F4" i="9"/>
  <c r="B14" i="7"/>
  <c r="B13" i="7"/>
  <c r="B12" i="7"/>
  <c r="B11" i="7"/>
  <c r="B10" i="7"/>
  <c r="B9" i="7"/>
  <c r="B8" i="7"/>
  <c r="B7" i="7"/>
  <c r="B6" i="7"/>
  <c r="B5" i="7"/>
  <c r="D22" i="8"/>
  <c r="E43" i="6" s="1"/>
  <c r="D9" i="8"/>
  <c r="H6" i="7" l="1"/>
  <c r="I15" i="7"/>
  <c r="J15" i="7" s="1"/>
  <c r="H7" i="7"/>
  <c r="Z61" i="3"/>
  <c r="AA61" i="3" s="1"/>
  <c r="AB61" i="3" s="1"/>
  <c r="AC61" i="3" s="1"/>
  <c r="AE66" i="3"/>
  <c r="AF66" i="3" s="1"/>
  <c r="AG66" i="3" s="1"/>
  <c r="AH66" i="3" s="1"/>
  <c r="AB63" i="3"/>
  <c r="AC63" i="3" s="1"/>
  <c r="AD63" i="3" s="1"/>
  <c r="AE63" i="3" s="1"/>
  <c r="Y60" i="3"/>
  <c r="Z60" i="3" s="1"/>
  <c r="AA60" i="3" s="1"/>
  <c r="AB60" i="3" s="1"/>
  <c r="V58" i="3"/>
  <c r="AD65" i="3"/>
  <c r="AE65" i="3" s="1"/>
  <c r="AF65" i="3" s="1"/>
  <c r="AG65" i="3" s="1"/>
  <c r="AI65" i="3"/>
  <c r="AJ65" i="3" s="1"/>
  <c r="AK65" i="3" s="1"/>
  <c r="AC64" i="3"/>
  <c r="AD64" i="3" s="1"/>
  <c r="AE64" i="3" s="1"/>
  <c r="AF64" i="3" s="1"/>
  <c r="AH64" i="3"/>
  <c r="AI64" i="3" s="1"/>
  <c r="AJ64" i="3" s="1"/>
  <c r="AK64" i="3" s="1"/>
  <c r="X59" i="3"/>
  <c r="Y59" i="3" s="1"/>
  <c r="Z59" i="3" s="1"/>
  <c r="AA59" i="3" s="1"/>
  <c r="AC59" i="3"/>
  <c r="AD59" i="3" s="1"/>
  <c r="AE59" i="3" s="1"/>
  <c r="AF59" i="3" s="1"/>
  <c r="AG59" i="3" s="1"/>
  <c r="AH59" i="3" s="1"/>
  <c r="AI59" i="3" s="1"/>
  <c r="AJ59" i="3" s="1"/>
  <c r="AK59" i="3" s="1"/>
  <c r="AF62" i="3"/>
  <c r="AG62" i="3" s="1"/>
  <c r="AH62" i="3" s="1"/>
  <c r="AI62" i="3" s="1"/>
  <c r="AJ62" i="3" s="1"/>
  <c r="AK62" i="3" s="1"/>
  <c r="AA62" i="3"/>
  <c r="AB62" i="3" s="1"/>
  <c r="AC62" i="3" s="1"/>
  <c r="AD62" i="3" s="1"/>
  <c r="V57" i="3"/>
  <c r="H14" i="6" s="1"/>
  <c r="AA57" i="3"/>
  <c r="M14" i="6" s="1"/>
  <c r="AE61" i="3"/>
  <c r="AF61" i="3" s="1"/>
  <c r="AG61" i="3" s="1"/>
  <c r="AH61" i="3" s="1"/>
  <c r="AI61" i="3" s="1"/>
  <c r="AJ61" i="3" s="1"/>
  <c r="AK61" i="3" s="1"/>
  <c r="S68" i="3"/>
  <c r="AD60" i="3"/>
  <c r="AE60" i="3" s="1"/>
  <c r="AF60" i="3" s="1"/>
  <c r="AG60" i="3" s="1"/>
  <c r="AH60" i="3" s="1"/>
  <c r="AI60" i="3" s="1"/>
  <c r="AJ60" i="3" s="1"/>
  <c r="AK60" i="3" s="1"/>
  <c r="G7" i="6"/>
  <c r="G9" i="7"/>
  <c r="G8" i="7"/>
  <c r="G5" i="7"/>
  <c r="G6" i="7"/>
  <c r="I6" i="7" s="1"/>
  <c r="J6" i="7" s="1"/>
  <c r="K6" i="7" s="1"/>
  <c r="L6" i="7" s="1"/>
  <c r="G13" i="7"/>
  <c r="I13" i="7" s="1"/>
  <c r="J13" i="7" s="1"/>
  <c r="H5" i="7"/>
  <c r="H11" i="7"/>
  <c r="I11" i="7" s="1"/>
  <c r="J11" i="7" s="1"/>
  <c r="G12" i="7"/>
  <c r="I12" i="7" s="1"/>
  <c r="J12" i="7" s="1"/>
  <c r="H14" i="7"/>
  <c r="I14" i="7" s="1"/>
  <c r="J14" i="7" s="1"/>
  <c r="H10" i="7"/>
  <c r="I10" i="7" s="1"/>
  <c r="J10" i="7" s="1"/>
  <c r="G7" i="7"/>
  <c r="H9" i="7"/>
  <c r="I8" i="7"/>
  <c r="J8" i="7" s="1"/>
  <c r="L50" i="3"/>
  <c r="H16" i="7" l="1"/>
  <c r="E21" i="4" s="1"/>
  <c r="I5" i="7"/>
  <c r="I16" i="7" s="1"/>
  <c r="M15" i="7"/>
  <c r="L15" i="7"/>
  <c r="I7" i="7"/>
  <c r="J7" i="7" s="1"/>
  <c r="M7" i="7" s="1"/>
  <c r="V68" i="3"/>
  <c r="H15" i="6" s="1"/>
  <c r="W57" i="3"/>
  <c r="I14" i="6" s="1"/>
  <c r="AB57" i="3"/>
  <c r="N14" i="6" s="1"/>
  <c r="I9" i="7"/>
  <c r="J9" i="7" s="1"/>
  <c r="M10" i="7"/>
  <c r="M8" i="7"/>
  <c r="M14" i="7"/>
  <c r="M13" i="7"/>
  <c r="M12" i="7"/>
  <c r="M6" i="7"/>
  <c r="M11" i="7"/>
  <c r="J5" i="7"/>
  <c r="J16" i="7" s="1"/>
  <c r="W2" i="6"/>
  <c r="E8" i="6"/>
  <c r="E13" i="6"/>
  <c r="E12" i="6" s="1"/>
  <c r="E17" i="6"/>
  <c r="E40" i="6"/>
  <c r="E45" i="6" s="1"/>
  <c r="E36" i="6"/>
  <c r="W26" i="6"/>
  <c r="V26" i="6"/>
  <c r="U26" i="6"/>
  <c r="T26" i="6"/>
  <c r="S26" i="6"/>
  <c r="R26" i="6"/>
  <c r="Q26" i="6"/>
  <c r="P26" i="6"/>
  <c r="O26" i="6"/>
  <c r="N26" i="6"/>
  <c r="M26" i="6"/>
  <c r="L26" i="6"/>
  <c r="K26" i="6"/>
  <c r="J26" i="6"/>
  <c r="I26" i="6"/>
  <c r="H26" i="6"/>
  <c r="M25" i="6"/>
  <c r="L25" i="6"/>
  <c r="M20" i="6"/>
  <c r="G26" i="6"/>
  <c r="G25" i="6"/>
  <c r="G24" i="6"/>
  <c r="G23" i="6"/>
  <c r="G21" i="6"/>
  <c r="G20" i="6"/>
  <c r="G19" i="6"/>
  <c r="K5" i="7" l="1"/>
  <c r="K16" i="7"/>
  <c r="L5" i="7"/>
  <c r="L16" i="7" s="1"/>
  <c r="X57" i="3"/>
  <c r="J14" i="6" s="1"/>
  <c r="AC57" i="3"/>
  <c r="O14" i="6" s="1"/>
  <c r="M9" i="7"/>
  <c r="E28" i="6"/>
  <c r="G35" i="6"/>
  <c r="Y57" i="3" l="1"/>
  <c r="AD57" i="3"/>
  <c r="P14" i="6" s="1"/>
  <c r="M5" i="7"/>
  <c r="M16" i="7" s="1"/>
  <c r="G4" i="6"/>
  <c r="F33" i="4"/>
  <c r="K14" i="6" l="1"/>
  <c r="AE57" i="3"/>
  <c r="Q14" i="6" s="1"/>
  <c r="G6" i="6"/>
  <c r="G34" i="6" s="1"/>
  <c r="E4" i="6"/>
  <c r="G5" i="6"/>
  <c r="G33" i="6" s="1"/>
  <c r="H4" i="6"/>
  <c r="AF57" i="3" l="1"/>
  <c r="R14" i="6" s="1"/>
  <c r="E6" i="6"/>
  <c r="E34" i="6" s="1"/>
  <c r="E5" i="6"/>
  <c r="E33" i="6" s="1"/>
  <c r="H6" i="6"/>
  <c r="H34" i="6" s="1"/>
  <c r="H5" i="6"/>
  <c r="H33" i="6" s="1"/>
  <c r="I4" i="6"/>
  <c r="M14" i="4"/>
  <c r="O20" i="6" s="1"/>
  <c r="N14" i="4"/>
  <c r="P20" i="6" s="1"/>
  <c r="O14" i="4"/>
  <c r="Q20" i="6" s="1"/>
  <c r="P14" i="4"/>
  <c r="R20" i="6" s="1"/>
  <c r="Q14" i="4"/>
  <c r="S20" i="6" s="1"/>
  <c r="R14" i="4"/>
  <c r="T20" i="6" s="1"/>
  <c r="S14" i="4"/>
  <c r="U20" i="6" s="1"/>
  <c r="T14" i="4"/>
  <c r="V20" i="6" s="1"/>
  <c r="U14" i="4"/>
  <c r="W20" i="6" s="1"/>
  <c r="L14" i="4"/>
  <c r="N20" i="6" s="1"/>
  <c r="F13" i="2"/>
  <c r="F14" i="2"/>
  <c r="F12" i="2"/>
  <c r="B13" i="2"/>
  <c r="B14" i="2"/>
  <c r="B12" i="2"/>
  <c r="G49" i="3"/>
  <c r="O38" i="3"/>
  <c r="O40" i="3"/>
  <c r="O41" i="3"/>
  <c r="O42" i="3"/>
  <c r="O43" i="3"/>
  <c r="O45" i="3"/>
  <c r="O47" i="3"/>
  <c r="O48" i="3"/>
  <c r="O49" i="3"/>
  <c r="G38" i="3"/>
  <c r="E40" i="3"/>
  <c r="B40" i="3"/>
  <c r="C40" i="3"/>
  <c r="D50" i="3"/>
  <c r="D52" i="3" s="1"/>
  <c r="M39" i="3"/>
  <c r="K39" i="3"/>
  <c r="J39" i="3"/>
  <c r="E39" i="3"/>
  <c r="B39" i="3"/>
  <c r="C39" i="3"/>
  <c r="E37" i="3"/>
  <c r="G41" i="3"/>
  <c r="G42" i="3"/>
  <c r="G45" i="3"/>
  <c r="AG57" i="3" l="1"/>
  <c r="S14" i="6" s="1"/>
  <c r="T42" i="3"/>
  <c r="AE42" i="3" s="1"/>
  <c r="S42" i="3"/>
  <c r="Z42" i="3" s="1"/>
  <c r="S41" i="3"/>
  <c r="Y41" i="3" s="1"/>
  <c r="T41" i="3"/>
  <c r="AD41" i="3" s="1"/>
  <c r="T38" i="3"/>
  <c r="AA38" i="3" s="1"/>
  <c r="S38" i="3"/>
  <c r="V38" i="3" s="1"/>
  <c r="S45" i="3"/>
  <c r="AC45" i="3" s="1"/>
  <c r="T45" i="3"/>
  <c r="AH45" i="3" s="1"/>
  <c r="I5" i="6"/>
  <c r="I33" i="6" s="1"/>
  <c r="J4" i="6"/>
  <c r="I6" i="6"/>
  <c r="I34" i="6" s="1"/>
  <c r="G15" i="2"/>
  <c r="C15" i="2"/>
  <c r="H12" i="2"/>
  <c r="H14" i="2"/>
  <c r="H13" i="2"/>
  <c r="D13" i="2"/>
  <c r="D14" i="2"/>
  <c r="D12" i="2"/>
  <c r="AH57" i="3" l="1"/>
  <c r="T14" i="6" s="1"/>
  <c r="AI45" i="3"/>
  <c r="AJ45" i="3" s="1"/>
  <c r="AK45" i="3" s="1"/>
  <c r="AD45" i="3"/>
  <c r="AE45" i="3" s="1"/>
  <c r="AF45" i="3" s="1"/>
  <c r="AG45" i="3" s="1"/>
  <c r="Z41" i="3"/>
  <c r="AA41" i="3" s="1"/>
  <c r="AB41" i="3" s="1"/>
  <c r="AC41" i="3" s="1"/>
  <c r="AE41" i="3"/>
  <c r="AF41" i="3" s="1"/>
  <c r="AG41" i="3" s="1"/>
  <c r="AH41" i="3" s="1"/>
  <c r="AI41" i="3" s="1"/>
  <c r="AJ41" i="3" s="1"/>
  <c r="AK41" i="3" s="1"/>
  <c r="AB38" i="3"/>
  <c r="AC38" i="3" s="1"/>
  <c r="AD38" i="3" s="1"/>
  <c r="AE38" i="3" s="1"/>
  <c r="AF38" i="3" s="1"/>
  <c r="AG38" i="3" s="1"/>
  <c r="AH38" i="3" s="1"/>
  <c r="AI38" i="3" s="1"/>
  <c r="AJ38" i="3" s="1"/>
  <c r="AK38" i="3" s="1"/>
  <c r="W38" i="3"/>
  <c r="X38" i="3" s="1"/>
  <c r="Y38" i="3" s="1"/>
  <c r="Z38" i="3" s="1"/>
  <c r="AF42" i="3"/>
  <c r="AG42" i="3" s="1"/>
  <c r="AH42" i="3" s="1"/>
  <c r="AI42" i="3" s="1"/>
  <c r="AJ42" i="3" s="1"/>
  <c r="AK42" i="3" s="1"/>
  <c r="AA42" i="3"/>
  <c r="AB42" i="3" s="1"/>
  <c r="AC42" i="3" s="1"/>
  <c r="AD42" i="3" s="1"/>
  <c r="J6" i="6"/>
  <c r="J34" i="6" s="1"/>
  <c r="J5" i="6"/>
  <c r="J33" i="6" s="1"/>
  <c r="K4" i="6"/>
  <c r="D15" i="2"/>
  <c r="E12" i="4" s="1"/>
  <c r="H15" i="2"/>
  <c r="N65" i="3"/>
  <c r="N64" i="3"/>
  <c r="N63" i="3"/>
  <c r="N62" i="3"/>
  <c r="N61" i="3"/>
  <c r="N60" i="3"/>
  <c r="N59" i="3"/>
  <c r="F59" i="3"/>
  <c r="F61" i="3"/>
  <c r="F62" i="3"/>
  <c r="F63" i="3"/>
  <c r="F64" i="3"/>
  <c r="F65" i="3"/>
  <c r="F60" i="3"/>
  <c r="M42" i="3"/>
  <c r="M43" i="3"/>
  <c r="M44" i="3"/>
  <c r="M45" i="3"/>
  <c r="M46" i="3"/>
  <c r="M47" i="3"/>
  <c r="M48" i="3"/>
  <c r="M49" i="3"/>
  <c r="M41" i="3"/>
  <c r="M37" i="3"/>
  <c r="J49" i="3"/>
  <c r="J48" i="3"/>
  <c r="J47" i="3"/>
  <c r="J46" i="3"/>
  <c r="J45" i="3"/>
  <c r="J44" i="3"/>
  <c r="J43" i="3"/>
  <c r="J42" i="3"/>
  <c r="K41" i="3"/>
  <c r="J41" i="3"/>
  <c r="K38" i="3"/>
  <c r="J38" i="3"/>
  <c r="J37" i="3"/>
  <c r="J36" i="3"/>
  <c r="D53" i="3"/>
  <c r="E42" i="3"/>
  <c r="E43" i="3"/>
  <c r="E44" i="3"/>
  <c r="E45" i="3"/>
  <c r="E46" i="3"/>
  <c r="E47" i="3"/>
  <c r="E48" i="3"/>
  <c r="E49" i="3"/>
  <c r="E38" i="3"/>
  <c r="E41" i="3"/>
  <c r="B49" i="3"/>
  <c r="B48" i="3"/>
  <c r="B47" i="3"/>
  <c r="B46" i="3"/>
  <c r="B45" i="3"/>
  <c r="B44" i="3"/>
  <c r="B43" i="3"/>
  <c r="B42" i="3"/>
  <c r="B41" i="3"/>
  <c r="B38" i="3"/>
  <c r="B37" i="3"/>
  <c r="B36" i="3"/>
  <c r="AI57" i="3" l="1"/>
  <c r="U14" i="6" s="1"/>
  <c r="J12" i="4"/>
  <c r="L18" i="6" s="1"/>
  <c r="K12" i="4"/>
  <c r="T12" i="4" s="1"/>
  <c r="V18" i="6" s="1"/>
  <c r="G18" i="6"/>
  <c r="K5" i="6"/>
  <c r="K33" i="6" s="1"/>
  <c r="L4" i="6"/>
  <c r="K6" i="6"/>
  <c r="K34" i="6" s="1"/>
  <c r="I12" i="4"/>
  <c r="K18" i="6" s="1"/>
  <c r="G12" i="4"/>
  <c r="I18" i="6" s="1"/>
  <c r="F12" i="4"/>
  <c r="H12" i="4"/>
  <c r="J18" i="6" s="1"/>
  <c r="U12" i="4"/>
  <c r="W18" i="6" s="1"/>
  <c r="M38" i="3"/>
  <c r="M50" i="3" s="1"/>
  <c r="B8" i="3"/>
  <c r="L9" i="3"/>
  <c r="L10" i="3"/>
  <c r="L11" i="3"/>
  <c r="L12" i="3"/>
  <c r="L13" i="3"/>
  <c r="L14" i="3"/>
  <c r="L8" i="3"/>
  <c r="S12" i="4" l="1"/>
  <c r="U18" i="6" s="1"/>
  <c r="Q12" i="4"/>
  <c r="S18" i="6" s="1"/>
  <c r="M12" i="4"/>
  <c r="O18" i="6" s="1"/>
  <c r="O12" i="4"/>
  <c r="Q18" i="6" s="1"/>
  <c r="R12" i="4"/>
  <c r="T18" i="6" s="1"/>
  <c r="P12" i="4"/>
  <c r="R18" i="6" s="1"/>
  <c r="AJ57" i="3"/>
  <c r="V14" i="6" s="1"/>
  <c r="E33" i="4"/>
  <c r="L12" i="4"/>
  <c r="N18" i="6" s="1"/>
  <c r="N12" i="4"/>
  <c r="P18" i="6" s="1"/>
  <c r="H18" i="6"/>
  <c r="M18" i="6"/>
  <c r="F31" i="4"/>
  <c r="L6" i="6"/>
  <c r="L34" i="6" s="1"/>
  <c r="L5" i="6"/>
  <c r="L33" i="6" s="1"/>
  <c r="M4" i="6"/>
  <c r="N46" i="3"/>
  <c r="O46" i="3" s="1"/>
  <c r="F40" i="3"/>
  <c r="G40" i="3" s="1"/>
  <c r="N37" i="3"/>
  <c r="O37" i="3" s="1"/>
  <c r="T37" i="3" s="1"/>
  <c r="N39" i="3"/>
  <c r="O39" i="3" s="1"/>
  <c r="N44" i="3"/>
  <c r="O44" i="3" s="1"/>
  <c r="L52" i="3"/>
  <c r="L53" i="3" s="1"/>
  <c r="F37" i="3"/>
  <c r="G37" i="3" s="1"/>
  <c r="F39" i="3"/>
  <c r="G39" i="3" s="1"/>
  <c r="G44" i="3"/>
  <c r="G48" i="3"/>
  <c r="G47" i="3"/>
  <c r="F46" i="3"/>
  <c r="G46" i="3" s="1"/>
  <c r="L19" i="4"/>
  <c r="F19" i="4"/>
  <c r="H25" i="6" s="1"/>
  <c r="G18" i="4"/>
  <c r="H18" i="4"/>
  <c r="J24" i="6" s="1"/>
  <c r="I18" i="4"/>
  <c r="K24" i="6" s="1"/>
  <c r="J18" i="4"/>
  <c r="L24" i="6" s="1"/>
  <c r="K18" i="4"/>
  <c r="M24" i="6" s="1"/>
  <c r="L18" i="4"/>
  <c r="N24" i="6" s="1"/>
  <c r="M18" i="4"/>
  <c r="O24" i="6" s="1"/>
  <c r="N18" i="4"/>
  <c r="P24" i="6" s="1"/>
  <c r="O18" i="4"/>
  <c r="Q24" i="6" s="1"/>
  <c r="P18" i="4"/>
  <c r="R24" i="6" s="1"/>
  <c r="Q18" i="4"/>
  <c r="S24" i="6" s="1"/>
  <c r="R18" i="4"/>
  <c r="T24" i="6" s="1"/>
  <c r="S18" i="4"/>
  <c r="U24" i="6" s="1"/>
  <c r="T18" i="4"/>
  <c r="V24" i="6" s="1"/>
  <c r="U18" i="4"/>
  <c r="W24" i="6" s="1"/>
  <c r="F18" i="4"/>
  <c r="H24" i="6" s="1"/>
  <c r="G17" i="4"/>
  <c r="H17" i="4"/>
  <c r="J23" i="6" s="1"/>
  <c r="I17" i="4"/>
  <c r="K23" i="6" s="1"/>
  <c r="J17" i="4"/>
  <c r="L23" i="6" s="1"/>
  <c r="K17" i="4"/>
  <c r="M23" i="6" s="1"/>
  <c r="L17" i="4"/>
  <c r="N23" i="6" s="1"/>
  <c r="M17" i="4"/>
  <c r="O23" i="6" s="1"/>
  <c r="N17" i="4"/>
  <c r="P23" i="6" s="1"/>
  <c r="O17" i="4"/>
  <c r="Q23" i="6" s="1"/>
  <c r="P17" i="4"/>
  <c r="R23" i="6" s="1"/>
  <c r="Q17" i="4"/>
  <c r="S23" i="6" s="1"/>
  <c r="R17" i="4"/>
  <c r="T23" i="6" s="1"/>
  <c r="S17" i="4"/>
  <c r="U23" i="6" s="1"/>
  <c r="T17" i="4"/>
  <c r="V23" i="6" s="1"/>
  <c r="U17" i="4"/>
  <c r="W23" i="6" s="1"/>
  <c r="F17" i="4"/>
  <c r="H23" i="6" s="1"/>
  <c r="G14" i="4"/>
  <c r="H14" i="4"/>
  <c r="J20" i="6" s="1"/>
  <c r="I14" i="4"/>
  <c r="K20" i="6" s="1"/>
  <c r="J14" i="4"/>
  <c r="F14" i="4"/>
  <c r="H20" i="6" s="1"/>
  <c r="G13" i="4"/>
  <c r="H13" i="4"/>
  <c r="J19" i="6" s="1"/>
  <c r="I13" i="4"/>
  <c r="K19" i="6" s="1"/>
  <c r="J13" i="4"/>
  <c r="L19" i="6" s="1"/>
  <c r="K13" i="4"/>
  <c r="L13" i="4"/>
  <c r="N19" i="6" s="1"/>
  <c r="M13" i="4"/>
  <c r="O19" i="6" s="1"/>
  <c r="N13" i="4"/>
  <c r="P19" i="6" s="1"/>
  <c r="O13" i="4"/>
  <c r="Q19" i="6" s="1"/>
  <c r="P13" i="4"/>
  <c r="R19" i="6" s="1"/>
  <c r="Q13" i="4"/>
  <c r="S19" i="6" s="1"/>
  <c r="R13" i="4"/>
  <c r="T19" i="6" s="1"/>
  <c r="S13" i="4"/>
  <c r="U19" i="6" s="1"/>
  <c r="T13" i="4"/>
  <c r="V19" i="6" s="1"/>
  <c r="U13" i="4"/>
  <c r="W19" i="6" s="1"/>
  <c r="F13" i="4"/>
  <c r="H19" i="6" s="1"/>
  <c r="I20" i="6" l="1"/>
  <c r="V14" i="4"/>
  <c r="I23" i="6"/>
  <c r="V17" i="4"/>
  <c r="I24" i="6"/>
  <c r="V18" i="4"/>
  <c r="N25" i="6"/>
  <c r="I19" i="6"/>
  <c r="V13" i="4"/>
  <c r="V12" i="4"/>
  <c r="AK57" i="3"/>
  <c r="Z37" i="3"/>
  <c r="S44" i="3"/>
  <c r="AB44" i="3" s="1"/>
  <c r="T44" i="3"/>
  <c r="AG44" i="3" s="1"/>
  <c r="S40" i="3"/>
  <c r="X40" i="3" s="1"/>
  <c r="T40" i="3"/>
  <c r="AC40" i="3" s="1"/>
  <c r="S46" i="3"/>
  <c r="AD46" i="3" s="1"/>
  <c r="T46" i="3"/>
  <c r="AI46" i="3" s="1"/>
  <c r="T39" i="3"/>
  <c r="AB39" i="3" s="1"/>
  <c r="S39" i="3"/>
  <c r="W39" i="3" s="1"/>
  <c r="S37" i="3"/>
  <c r="M19" i="6"/>
  <c r="F32" i="4"/>
  <c r="L20" i="6"/>
  <c r="M5" i="6"/>
  <c r="M33" i="6" s="1"/>
  <c r="N4" i="6"/>
  <c r="M6" i="6"/>
  <c r="M34" i="6" s="1"/>
  <c r="E35" i="4"/>
  <c r="E34" i="4"/>
  <c r="G19" i="4"/>
  <c r="G43" i="3"/>
  <c r="F50" i="3"/>
  <c r="O50" i="3"/>
  <c r="N67" i="3" s="1"/>
  <c r="T58" i="3" s="1"/>
  <c r="E4" i="4"/>
  <c r="M15" i="4"/>
  <c r="O21" i="6" s="1"/>
  <c r="N15" i="4"/>
  <c r="P21" i="6" s="1"/>
  <c r="O15" i="4"/>
  <c r="Q21" i="6" s="1"/>
  <c r="P15" i="4"/>
  <c r="R21" i="6" s="1"/>
  <c r="Q15" i="4"/>
  <c r="S21" i="6" s="1"/>
  <c r="R15" i="4"/>
  <c r="T21" i="6" s="1"/>
  <c r="S15" i="4"/>
  <c r="U21" i="6" s="1"/>
  <c r="T15" i="4"/>
  <c r="V21" i="6" s="1"/>
  <c r="U15" i="4"/>
  <c r="W21" i="6" s="1"/>
  <c r="L15" i="4"/>
  <c r="N21" i="6" s="1"/>
  <c r="G15" i="4"/>
  <c r="H15" i="4"/>
  <c r="J21" i="6" s="1"/>
  <c r="I15" i="4"/>
  <c r="K21" i="6" s="1"/>
  <c r="J15" i="4"/>
  <c r="L21" i="6" s="1"/>
  <c r="K15" i="4"/>
  <c r="F15" i="4"/>
  <c r="I21" i="6" l="1"/>
  <c r="V15" i="4"/>
  <c r="AA58" i="3"/>
  <c r="T68" i="3"/>
  <c r="W14" i="6"/>
  <c r="AD40" i="3"/>
  <c r="AE40" i="3" s="1"/>
  <c r="AF40" i="3" s="1"/>
  <c r="AG40" i="3" s="1"/>
  <c r="AH40" i="3" s="1"/>
  <c r="AI40" i="3" s="1"/>
  <c r="AJ40" i="3" s="1"/>
  <c r="AK40" i="3" s="1"/>
  <c r="Y40" i="3"/>
  <c r="Z40" i="3" s="1"/>
  <c r="AA40" i="3" s="1"/>
  <c r="AB40" i="3" s="1"/>
  <c r="U37" i="3"/>
  <c r="X39" i="3"/>
  <c r="Y39" i="3" s="1"/>
  <c r="Z39" i="3" s="1"/>
  <c r="AA39" i="3" s="1"/>
  <c r="AC39" i="3"/>
  <c r="AD39" i="3" s="1"/>
  <c r="AE39" i="3" s="1"/>
  <c r="AF39" i="3" s="1"/>
  <c r="AG39" i="3" s="1"/>
  <c r="AH39" i="3" s="1"/>
  <c r="AI39" i="3" s="1"/>
  <c r="AJ39" i="3" s="1"/>
  <c r="AK39" i="3" s="1"/>
  <c r="AJ46" i="3"/>
  <c r="AK46" i="3" s="1"/>
  <c r="AE46" i="3"/>
  <c r="AF46" i="3" s="1"/>
  <c r="AG46" i="3" s="1"/>
  <c r="AH46" i="3" s="1"/>
  <c r="AC44" i="3"/>
  <c r="AD44" i="3" s="1"/>
  <c r="AE44" i="3" s="1"/>
  <c r="AF44" i="3" s="1"/>
  <c r="AH44" i="3"/>
  <c r="AI44" i="3" s="1"/>
  <c r="AJ44" i="3" s="1"/>
  <c r="AK44" i="3" s="1"/>
  <c r="AA37" i="3"/>
  <c r="G50" i="3"/>
  <c r="T43" i="3"/>
  <c r="AF43" i="3" s="1"/>
  <c r="S43" i="3"/>
  <c r="AA43" i="3" s="1"/>
  <c r="H21" i="6"/>
  <c r="H19" i="4"/>
  <c r="J25" i="6" s="1"/>
  <c r="I25" i="6"/>
  <c r="M21" i="6"/>
  <c r="N6" i="6"/>
  <c r="N34" i="6" s="1"/>
  <c r="N5" i="6"/>
  <c r="N33" i="6" s="1"/>
  <c r="O4" i="6"/>
  <c r="E36" i="4"/>
  <c r="E6" i="4"/>
  <c r="D54" i="3"/>
  <c r="AB58" i="3" l="1"/>
  <c r="W58" i="3"/>
  <c r="W68" i="3" s="1"/>
  <c r="I15" i="6" s="1"/>
  <c r="AA68" i="3"/>
  <c r="M15" i="6" s="1"/>
  <c r="E10" i="4"/>
  <c r="F7" i="4"/>
  <c r="AB43" i="3"/>
  <c r="AC43" i="3" s="1"/>
  <c r="AD43" i="3" s="1"/>
  <c r="AE43" i="3" s="1"/>
  <c r="AG43" i="3"/>
  <c r="AH43" i="3" s="1"/>
  <c r="AI43" i="3" s="1"/>
  <c r="AJ43" i="3" s="1"/>
  <c r="AK43" i="3" s="1"/>
  <c r="T48" i="3"/>
  <c r="AA48" i="3"/>
  <c r="K8" i="4" s="1"/>
  <c r="AB37" i="3"/>
  <c r="U48" i="3"/>
  <c r="E8" i="4" s="1"/>
  <c r="V37" i="3"/>
  <c r="Z48" i="3"/>
  <c r="J8" i="4" s="1"/>
  <c r="E29" i="4" s="1"/>
  <c r="S48" i="3"/>
  <c r="G8" i="6"/>
  <c r="G13" i="6"/>
  <c r="O5" i="6"/>
  <c r="O33" i="6" s="1"/>
  <c r="P4" i="6"/>
  <c r="O6" i="6"/>
  <c r="O34" i="6" s="1"/>
  <c r="E16" i="4"/>
  <c r="K9" i="4"/>
  <c r="K10" i="4" s="1"/>
  <c r="J9" i="4"/>
  <c r="E5" i="4"/>
  <c r="F4" i="4"/>
  <c r="G4" i="4" s="1"/>
  <c r="C41" i="3"/>
  <c r="C38" i="3"/>
  <c r="J16" i="4" l="1"/>
  <c r="L22" i="6" s="1"/>
  <c r="L17" i="6" s="1"/>
  <c r="J10" i="4"/>
  <c r="AC58" i="3"/>
  <c r="AB68" i="3"/>
  <c r="N15" i="6" s="1"/>
  <c r="X58" i="3"/>
  <c r="G22" i="6"/>
  <c r="G17" i="6" s="1"/>
  <c r="G12" i="6" s="1"/>
  <c r="G42" i="6" s="1"/>
  <c r="G40" i="6" s="1"/>
  <c r="F21" i="4"/>
  <c r="W37" i="3"/>
  <c r="V48" i="3"/>
  <c r="F8" i="4" s="1"/>
  <c r="H8" i="6" s="1"/>
  <c r="AC37" i="3"/>
  <c r="AB48" i="3"/>
  <c r="L8" i="4" s="1"/>
  <c r="L16" i="4" s="1"/>
  <c r="N22" i="6" s="1"/>
  <c r="N17" i="6" s="1"/>
  <c r="H7" i="6"/>
  <c r="F30" i="4"/>
  <c r="K16" i="4"/>
  <c r="M8" i="6"/>
  <c r="F29" i="4"/>
  <c r="G38" i="6"/>
  <c r="G36" i="6" s="1"/>
  <c r="F16" i="4"/>
  <c r="H22" i="6" s="1"/>
  <c r="H17" i="6" s="1"/>
  <c r="P6" i="6"/>
  <c r="P34" i="6" s="1"/>
  <c r="P5" i="6"/>
  <c r="P33" i="6" s="1"/>
  <c r="Q4" i="6"/>
  <c r="O9" i="4"/>
  <c r="Q9" i="4"/>
  <c r="L9" i="4"/>
  <c r="L10" i="4" s="1"/>
  <c r="U9" i="4"/>
  <c r="M9" i="4"/>
  <c r="T9" i="4"/>
  <c r="S9" i="4"/>
  <c r="P9" i="4"/>
  <c r="R9" i="4"/>
  <c r="N9" i="4"/>
  <c r="F6" i="4"/>
  <c r="F5" i="4"/>
  <c r="G5" i="4"/>
  <c r="G6" i="4"/>
  <c r="H4" i="4"/>
  <c r="Y58" i="3" l="1"/>
  <c r="X68" i="3"/>
  <c r="J15" i="6" s="1"/>
  <c r="AD58" i="3"/>
  <c r="AC68" i="3"/>
  <c r="O15" i="6" s="1"/>
  <c r="G45" i="6"/>
  <c r="G7" i="4"/>
  <c r="H7" i="4"/>
  <c r="H21" i="4" s="1"/>
  <c r="AC48" i="3"/>
  <c r="M8" i="4" s="1"/>
  <c r="M10" i="4" s="1"/>
  <c r="AD37" i="3"/>
  <c r="X37" i="3"/>
  <c r="W48" i="3"/>
  <c r="G8" i="4" s="1"/>
  <c r="G28" i="6"/>
  <c r="M13" i="6"/>
  <c r="H38" i="6"/>
  <c r="H36" i="6" s="1"/>
  <c r="N8" i="6"/>
  <c r="M22" i="6"/>
  <c r="N13" i="6"/>
  <c r="N12" i="6" s="1"/>
  <c r="N42" i="6" s="1"/>
  <c r="N40" i="6" s="1"/>
  <c r="M38" i="6"/>
  <c r="M36" i="6" s="1"/>
  <c r="Q5" i="6"/>
  <c r="Q33" i="6" s="1"/>
  <c r="R4" i="6"/>
  <c r="Q6" i="6"/>
  <c r="Q34" i="6" s="1"/>
  <c r="H5" i="4"/>
  <c r="H6" i="4"/>
  <c r="I4" i="4"/>
  <c r="AE58" i="3" l="1"/>
  <c r="AD68" i="3"/>
  <c r="P15" i="6" s="1"/>
  <c r="P13" i="6" s="1"/>
  <c r="Z58" i="3"/>
  <c r="Z68" i="3" s="1"/>
  <c r="L15" i="6" s="1"/>
  <c r="Y68" i="3"/>
  <c r="K15" i="6" s="1"/>
  <c r="I7" i="4"/>
  <c r="I21" i="4" s="1"/>
  <c r="G21" i="4"/>
  <c r="Y37" i="3"/>
  <c r="Y48" i="3" s="1"/>
  <c r="I8" i="4" s="1"/>
  <c r="X48" i="3"/>
  <c r="H8" i="4" s="1"/>
  <c r="I8" i="6"/>
  <c r="I38" i="6" s="1"/>
  <c r="I36" i="6" s="1"/>
  <c r="AE37" i="3"/>
  <c r="AD48" i="3"/>
  <c r="N8" i="4" s="1"/>
  <c r="N10" i="4" s="1"/>
  <c r="G16" i="4"/>
  <c r="M16" i="4"/>
  <c r="O8" i="6"/>
  <c r="O38" i="6" s="1"/>
  <c r="O36" i="6" s="1"/>
  <c r="I7" i="6"/>
  <c r="J7" i="6"/>
  <c r="O13" i="6"/>
  <c r="J8" i="6"/>
  <c r="N38" i="6"/>
  <c r="N36" i="6" s="1"/>
  <c r="N28" i="6"/>
  <c r="R6" i="6"/>
  <c r="R34" i="6" s="1"/>
  <c r="R5" i="6"/>
  <c r="R33" i="6" s="1"/>
  <c r="S4" i="6"/>
  <c r="H16" i="4"/>
  <c r="J22" i="6" s="1"/>
  <c r="J17" i="6" s="1"/>
  <c r="I5" i="4"/>
  <c r="I6" i="4"/>
  <c r="J4" i="4"/>
  <c r="AF58" i="3" l="1"/>
  <c r="AE68" i="3"/>
  <c r="Q15" i="6" s="1"/>
  <c r="Q13" i="6" s="1"/>
  <c r="J7" i="4"/>
  <c r="I22" i="6"/>
  <c r="I17" i="6" s="1"/>
  <c r="O22" i="6"/>
  <c r="AF37" i="3"/>
  <c r="AE48" i="3"/>
  <c r="O8" i="4" s="1"/>
  <c r="O10" i="4" s="1"/>
  <c r="N16" i="4"/>
  <c r="P22" i="6" s="1"/>
  <c r="P8" i="6"/>
  <c r="P38" i="6" s="1"/>
  <c r="P36" i="6" s="1"/>
  <c r="K7" i="6"/>
  <c r="J38" i="6"/>
  <c r="J36" i="6" s="1"/>
  <c r="S5" i="6"/>
  <c r="S33" i="6" s="1"/>
  <c r="T4" i="6"/>
  <c r="S6" i="6"/>
  <c r="S34" i="6" s="1"/>
  <c r="E11" i="4"/>
  <c r="J5" i="4"/>
  <c r="J6" i="4"/>
  <c r="K7" i="4" s="1"/>
  <c r="K21" i="4" s="1"/>
  <c r="K4" i="4"/>
  <c r="AG58" i="3" l="1"/>
  <c r="AF68" i="3"/>
  <c r="R15" i="6" s="1"/>
  <c r="R13" i="6" s="1"/>
  <c r="E22" i="4"/>
  <c r="J21" i="4"/>
  <c r="Q8" i="6"/>
  <c r="Q38" i="6" s="1"/>
  <c r="Q36" i="6" s="1"/>
  <c r="O16" i="4"/>
  <c r="AG37" i="3"/>
  <c r="AF48" i="3"/>
  <c r="P8" i="4" s="1"/>
  <c r="P10" i="4" s="1"/>
  <c r="M7" i="6"/>
  <c r="L7" i="6"/>
  <c r="T6" i="6"/>
  <c r="T34" i="6" s="1"/>
  <c r="T5" i="6"/>
  <c r="T33" i="6" s="1"/>
  <c r="U4" i="6"/>
  <c r="K5" i="4"/>
  <c r="K6" i="4"/>
  <c r="L4" i="4"/>
  <c r="M19" i="4"/>
  <c r="N19" i="4"/>
  <c r="P25" i="6" s="1"/>
  <c r="P17" i="6" s="1"/>
  <c r="P12" i="6" s="1"/>
  <c r="O19" i="4"/>
  <c r="Q25" i="6" s="1"/>
  <c r="P19" i="4"/>
  <c r="R25" i="6" s="1"/>
  <c r="Q19" i="4"/>
  <c r="S25" i="6" s="1"/>
  <c r="R19" i="4"/>
  <c r="T25" i="6" s="1"/>
  <c r="S19" i="4"/>
  <c r="U25" i="6" s="1"/>
  <c r="T19" i="4"/>
  <c r="V25" i="6" s="1"/>
  <c r="U19" i="4"/>
  <c r="W25" i="6" s="1"/>
  <c r="O25" i="6" l="1"/>
  <c r="O17" i="6" s="1"/>
  <c r="O12" i="6" s="1"/>
  <c r="V19" i="4"/>
  <c r="AH58" i="3"/>
  <c r="AG68" i="3"/>
  <c r="S15" i="6" s="1"/>
  <c r="S13" i="6" s="1"/>
  <c r="L7" i="4"/>
  <c r="Q22" i="6"/>
  <c r="Q17" i="6" s="1"/>
  <c r="Q12" i="6" s="1"/>
  <c r="R8" i="6"/>
  <c r="R38" i="6" s="1"/>
  <c r="R36" i="6" s="1"/>
  <c r="P16" i="4"/>
  <c r="R22" i="6" s="1"/>
  <c r="R17" i="6" s="1"/>
  <c r="R12" i="6" s="1"/>
  <c r="R42" i="6" s="1"/>
  <c r="R40" i="6" s="1"/>
  <c r="AH37" i="3"/>
  <c r="AG48" i="3"/>
  <c r="Q8" i="4" s="1"/>
  <c r="Q10" i="4" s="1"/>
  <c r="F34" i="4"/>
  <c r="F35" i="4" s="1"/>
  <c r="K11" i="4"/>
  <c r="K22" i="4" s="1"/>
  <c r="P42" i="6"/>
  <c r="P40" i="6" s="1"/>
  <c r="P28" i="6"/>
  <c r="O42" i="6"/>
  <c r="O40" i="6" s="1"/>
  <c r="O28" i="6"/>
  <c r="U5" i="6"/>
  <c r="U33" i="6" s="1"/>
  <c r="V4" i="6"/>
  <c r="U6" i="6"/>
  <c r="U34" i="6" s="1"/>
  <c r="L5" i="4"/>
  <c r="L6" i="4"/>
  <c r="M7" i="4" s="1"/>
  <c r="M21" i="4" s="1"/>
  <c r="M4" i="4"/>
  <c r="AI58" i="3" l="1"/>
  <c r="AH68" i="3"/>
  <c r="T15" i="6" s="1"/>
  <c r="T13" i="6" s="1"/>
  <c r="Q28" i="6"/>
  <c r="Q42" i="6"/>
  <c r="Q40" i="6" s="1"/>
  <c r="L21" i="4"/>
  <c r="N7" i="4"/>
  <c r="N21" i="4" s="1"/>
  <c r="R28" i="6"/>
  <c r="Q16" i="4"/>
  <c r="S22" i="6" s="1"/>
  <c r="S17" i="6" s="1"/>
  <c r="S12" i="6" s="1"/>
  <c r="S42" i="6" s="1"/>
  <c r="S40" i="6" s="1"/>
  <c r="S8" i="6"/>
  <c r="AI37" i="3"/>
  <c r="AH48" i="3"/>
  <c r="R8" i="4" s="1"/>
  <c r="R10" i="4" s="1"/>
  <c r="O7" i="6"/>
  <c r="N7" i="6"/>
  <c r="V6" i="6"/>
  <c r="V34" i="6" s="1"/>
  <c r="V5" i="6"/>
  <c r="V33" i="6" s="1"/>
  <c r="W4" i="6"/>
  <c r="E50" i="3"/>
  <c r="M5" i="4"/>
  <c r="M6" i="4"/>
  <c r="N4" i="4"/>
  <c r="AJ58" i="3" l="1"/>
  <c r="AI68" i="3"/>
  <c r="U15" i="6" s="1"/>
  <c r="U13" i="6" s="1"/>
  <c r="S38" i="6"/>
  <c r="S36" i="6" s="1"/>
  <c r="S28" i="6"/>
  <c r="AJ37" i="3"/>
  <c r="AI48" i="3"/>
  <c r="S8" i="4" s="1"/>
  <c r="S10" i="4" s="1"/>
  <c r="R16" i="4"/>
  <c r="T8" i="6"/>
  <c r="L11" i="4"/>
  <c r="L22" i="4" s="1"/>
  <c r="P7" i="6"/>
  <c r="W5" i="6"/>
  <c r="W33" i="6" s="1"/>
  <c r="W6" i="6"/>
  <c r="W34" i="6" s="1"/>
  <c r="N5" i="4"/>
  <c r="N6" i="4"/>
  <c r="O7" i="4" s="1"/>
  <c r="O4" i="4"/>
  <c r="AK58" i="3" l="1"/>
  <c r="AK68" i="3" s="1"/>
  <c r="W15" i="6" s="1"/>
  <c r="W13" i="6" s="1"/>
  <c r="AJ68" i="3"/>
  <c r="V15" i="6" s="1"/>
  <c r="V13" i="6" s="1"/>
  <c r="O21" i="4"/>
  <c r="O11" i="4" s="1"/>
  <c r="O22" i="4" s="1"/>
  <c r="S16" i="4"/>
  <c r="U22" i="6" s="1"/>
  <c r="U17" i="6" s="1"/>
  <c r="U12" i="6" s="1"/>
  <c r="U42" i="6" s="1"/>
  <c r="U40" i="6" s="1"/>
  <c r="U8" i="6"/>
  <c r="AK37" i="3"/>
  <c r="AK48" i="3" s="1"/>
  <c r="U8" i="4" s="1"/>
  <c r="AJ48" i="3"/>
  <c r="T8" i="4" s="1"/>
  <c r="T10" i="4" s="1"/>
  <c r="T38" i="6"/>
  <c r="T36" i="6" s="1"/>
  <c r="T22" i="6"/>
  <c r="T17" i="6" s="1"/>
  <c r="T12" i="6" s="1"/>
  <c r="T42" i="6" s="1"/>
  <c r="T40" i="6" s="1"/>
  <c r="Q7" i="6"/>
  <c r="O5" i="4"/>
  <c r="O6" i="4"/>
  <c r="P7" i="4" s="1"/>
  <c r="P21" i="4" s="1"/>
  <c r="P4" i="4"/>
  <c r="M11" i="4"/>
  <c r="M22" i="4" s="1"/>
  <c r="N11" i="4"/>
  <c r="N22" i="4" s="1"/>
  <c r="U10" i="4" l="1"/>
  <c r="V8" i="4"/>
  <c r="U16" i="4"/>
  <c r="T28" i="6"/>
  <c r="U38" i="6"/>
  <c r="U36" i="6" s="1"/>
  <c r="U28" i="6"/>
  <c r="V8" i="6"/>
  <c r="T16" i="4"/>
  <c r="R7" i="6"/>
  <c r="P11" i="4"/>
  <c r="P22" i="4" s="1"/>
  <c r="F36" i="4"/>
  <c r="P5" i="4"/>
  <c r="P6" i="4"/>
  <c r="Q7" i="4" s="1"/>
  <c r="Q21" i="4" s="1"/>
  <c r="Q4" i="4"/>
  <c r="W22" i="6" l="1"/>
  <c r="W17" i="6" s="1"/>
  <c r="W12" i="6" s="1"/>
  <c r="W42" i="6" s="1"/>
  <c r="W40" i="6" s="1"/>
  <c r="V38" i="6"/>
  <c r="V36" i="6" s="1"/>
  <c r="V22" i="6"/>
  <c r="V17" i="6" s="1"/>
  <c r="V12" i="6" s="1"/>
  <c r="V42" i="6" s="1"/>
  <c r="V40" i="6" s="1"/>
  <c r="W8" i="6"/>
  <c r="S7" i="6"/>
  <c r="Q11" i="4"/>
  <c r="Q22" i="4" s="1"/>
  <c r="Q5" i="4"/>
  <c r="Q6" i="4"/>
  <c r="R7" i="4" s="1"/>
  <c r="R21" i="4" s="1"/>
  <c r="R4" i="4"/>
  <c r="V28" i="6" l="1"/>
  <c r="W38" i="6"/>
  <c r="W36" i="6" s="1"/>
  <c r="W28" i="6"/>
  <c r="T7" i="6"/>
  <c r="R11" i="4"/>
  <c r="R22" i="4" s="1"/>
  <c r="R5" i="4"/>
  <c r="R6" i="4"/>
  <c r="S7" i="4" s="1"/>
  <c r="S21" i="4" s="1"/>
  <c r="S4" i="4"/>
  <c r="U7" i="6" l="1"/>
  <c r="S11" i="4"/>
  <c r="S22" i="4" s="1"/>
  <c r="S5" i="4"/>
  <c r="S6" i="4"/>
  <c r="T7" i="4" s="1"/>
  <c r="T21" i="4" s="1"/>
  <c r="T4" i="4"/>
  <c r="V7" i="6" l="1"/>
  <c r="T11" i="4"/>
  <c r="T22" i="4" s="1"/>
  <c r="T5" i="4"/>
  <c r="T6" i="4"/>
  <c r="U7" i="4" s="1"/>
  <c r="U4" i="4"/>
  <c r="U21" i="4" l="1"/>
  <c r="V21" i="4" s="1"/>
  <c r="L32" i="4"/>
  <c r="L41" i="4"/>
  <c r="L28" i="4"/>
  <c r="L40" i="4"/>
  <c r="M35" i="4"/>
  <c r="L33" i="4"/>
  <c r="L39" i="4"/>
  <c r="L38" i="4"/>
  <c r="L35" i="4"/>
  <c r="M29" i="4"/>
  <c r="M39" i="4"/>
  <c r="M37" i="4"/>
  <c r="M41" i="4"/>
  <c r="L37" i="4"/>
  <c r="M33" i="4"/>
  <c r="L34" i="4"/>
  <c r="M36" i="4"/>
  <c r="M28" i="4"/>
  <c r="M32" i="4"/>
  <c r="M34" i="4"/>
  <c r="M40" i="4"/>
  <c r="M38" i="4"/>
  <c r="W7" i="6"/>
  <c r="U5" i="4"/>
  <c r="U6" i="4"/>
  <c r="N28" i="4" l="1"/>
  <c r="W8" i="4" s="1"/>
  <c r="N37" i="4"/>
  <c r="N41" i="4"/>
  <c r="W21" i="4" s="1"/>
  <c r="N39" i="4"/>
  <c r="W19" i="4" s="1"/>
  <c r="W17" i="4"/>
  <c r="N33" i="4"/>
  <c r="N35" i="4"/>
  <c r="W15" i="4" s="1"/>
  <c r="N32" i="4"/>
  <c r="W12" i="4" s="1"/>
  <c r="N34" i="4"/>
  <c r="W14" i="4" s="1"/>
  <c r="N38" i="4"/>
  <c r="W18" i="4" s="1"/>
  <c r="N40" i="4"/>
  <c r="W20" i="4" s="1"/>
  <c r="W13" i="4"/>
  <c r="M30" i="4"/>
  <c r="M31" i="4"/>
  <c r="U11" i="4"/>
  <c r="U22" i="4" s="1"/>
  <c r="N50" i="3"/>
  <c r="L54" i="3" s="1"/>
  <c r="M42" i="4" l="1"/>
  <c r="F9" i="4"/>
  <c r="E30" i="4"/>
  <c r="E31" i="4"/>
  <c r="J11" i="4"/>
  <c r="I19" i="4"/>
  <c r="F10" i="4" l="1"/>
  <c r="E32" i="4"/>
  <c r="J22" i="4"/>
  <c r="K25" i="6"/>
  <c r="G9" i="4"/>
  <c r="G10" i="4" s="1"/>
  <c r="H13" i="6"/>
  <c r="H12" i="6" s="1"/>
  <c r="F11" i="4"/>
  <c r="G11" i="4"/>
  <c r="H11" i="4"/>
  <c r="G22" i="4" l="1"/>
  <c r="F22" i="4"/>
  <c r="H9" i="4"/>
  <c r="H10" i="4" s="1"/>
  <c r="H22" i="4" s="1"/>
  <c r="I13" i="6"/>
  <c r="I12" i="6" s="1"/>
  <c r="L8" i="6"/>
  <c r="K8" i="6"/>
  <c r="H42" i="6"/>
  <c r="H40" i="6" s="1"/>
  <c r="H28" i="6"/>
  <c r="I16" i="4"/>
  <c r="L36" i="4" l="1"/>
  <c r="N36" i="4" s="1"/>
  <c r="N31" i="4" s="1"/>
  <c r="V16" i="4"/>
  <c r="K38" i="6"/>
  <c r="K36" i="6" s="1"/>
  <c r="I11" i="4"/>
  <c r="V11" i="4" s="1"/>
  <c r="K22" i="6"/>
  <c r="K17" i="6" s="1"/>
  <c r="I42" i="6"/>
  <c r="I40" i="6" s="1"/>
  <c r="I28" i="6"/>
  <c r="L38" i="6"/>
  <c r="L36" i="6" s="1"/>
  <c r="I9" i="4"/>
  <c r="J13" i="6"/>
  <c r="J12" i="6" s="1"/>
  <c r="H35" i="6"/>
  <c r="L31" i="4" l="1"/>
  <c r="L29" i="4"/>
  <c r="L30" i="4" s="1"/>
  <c r="L42" i="4" s="1"/>
  <c r="I10" i="4"/>
  <c r="V10" i="4" s="1"/>
  <c r="V9" i="4"/>
  <c r="W11" i="4"/>
  <c r="W16" i="4"/>
  <c r="J42" i="6"/>
  <c r="J40" i="6" s="1"/>
  <c r="J28" i="6"/>
  <c r="L13" i="6"/>
  <c r="L12" i="6" s="1"/>
  <c r="K13" i="6"/>
  <c r="K12" i="6" s="1"/>
  <c r="H45" i="6"/>
  <c r="I35" i="6" s="1"/>
  <c r="I45" i="6" s="1"/>
  <c r="J35" i="6" s="1"/>
  <c r="N29" i="4" l="1"/>
  <c r="N30" i="4" s="1"/>
  <c r="I22" i="4"/>
  <c r="V22" i="4" s="1"/>
  <c r="K42" i="6"/>
  <c r="K40" i="6" s="1"/>
  <c r="K28" i="6"/>
  <c r="L42" i="6"/>
  <c r="L40" i="6" s="1"/>
  <c r="L28" i="6"/>
  <c r="J45" i="6"/>
  <c r="K35" i="6" s="1"/>
  <c r="W9" i="4" l="1"/>
  <c r="N42" i="4"/>
  <c r="W22" i="4" s="1"/>
  <c r="W10" i="4"/>
  <c r="M27" i="6"/>
  <c r="M17" i="6" s="1"/>
  <c r="M12" i="6" s="1"/>
  <c r="K45" i="6"/>
  <c r="L35" i="6" s="1"/>
  <c r="M42" i="6" l="1"/>
  <c r="M40" i="6" s="1"/>
  <c r="M28" i="6"/>
  <c r="L45" i="6"/>
  <c r="M35" i="6" s="1"/>
  <c r="M45" i="6" l="1"/>
  <c r="N35" i="6" s="1"/>
  <c r="N45" i="6" l="1"/>
  <c r="O35" i="6" s="1"/>
  <c r="O45" i="6" l="1"/>
  <c r="P35" i="6" s="1"/>
  <c r="P45" i="6" l="1"/>
  <c r="Q35" i="6" s="1"/>
  <c r="Q45" i="6" l="1"/>
  <c r="R35" i="6" s="1"/>
  <c r="R45" i="6" l="1"/>
  <c r="S35" i="6" s="1"/>
  <c r="S45" i="6" l="1"/>
  <c r="T35" i="6" s="1"/>
  <c r="T45" i="6" l="1"/>
  <c r="U35" i="6" s="1"/>
  <c r="U45" i="6" l="1"/>
  <c r="V35" i="6" s="1"/>
  <c r="V45" i="6" l="1"/>
  <c r="W35" i="6" s="1"/>
  <c r="W45" i="6" s="1"/>
</calcChain>
</file>

<file path=xl/comments1.xml><?xml version="1.0" encoding="utf-8"?>
<comments xmlns="http://schemas.openxmlformats.org/spreadsheetml/2006/main">
  <authors>
    <author>吉井英人</author>
    <author>yayoi</author>
  </authors>
  <commentList>
    <comment ref="B2" authorId="0">
      <text>
        <r>
          <rPr>
            <b/>
            <sz val="9"/>
            <color indexed="81"/>
            <rFont val="MS P ゴシック"/>
            <family val="3"/>
            <charset val="128"/>
          </rPr>
          <t>yayoi:</t>
        </r>
        <r>
          <rPr>
            <sz val="9"/>
            <color indexed="81"/>
            <rFont val="MS P ゴシック"/>
            <family val="3"/>
            <charset val="128"/>
          </rPr>
          <t xml:space="preserve">
まずは売上計画をたてます。
一番重要な作業といえます。夢物語ではなくて、店舗の設備や、人員の状況、資金状況などから、実現可能な数字を算出していきます。</t>
        </r>
      </text>
    </comment>
    <comment ref="L7" authorId="0">
      <text>
        <r>
          <rPr>
            <b/>
            <sz val="9"/>
            <color indexed="81"/>
            <rFont val="MS P ゴシック"/>
            <family val="3"/>
            <charset val="128"/>
          </rPr>
          <t>yayoi:</t>
        </r>
        <r>
          <rPr>
            <sz val="9"/>
            <color indexed="81"/>
            <rFont val="MS P ゴシック"/>
            <family val="3"/>
            <charset val="128"/>
          </rPr>
          <t xml:space="preserve">
当初は休まずに働けそうな気になりますし、働きたくなりますが、営業時間や営業日数も単月ではなく長期的に考えて可能な計画をたてます。
</t>
        </r>
      </text>
    </comment>
    <comment ref="D19" authorId="0">
      <text>
        <r>
          <rPr>
            <b/>
            <sz val="9"/>
            <color indexed="81"/>
            <rFont val="MS P ゴシック"/>
            <family val="3"/>
            <charset val="128"/>
          </rPr>
          <t>yayoi:</t>
        </r>
        <r>
          <rPr>
            <sz val="9"/>
            <color indexed="81"/>
            <rFont val="MS P ゴシック"/>
            <family val="3"/>
            <charset val="128"/>
          </rPr>
          <t xml:space="preserve">
メニュー表が出来ていればメニュー表から転記します。
できるだけ具体的に決めていきます。
なお、設定した数値は「売上げ予測」の表に連動します</t>
        </r>
      </text>
    </comment>
    <comment ref="H36" authorId="1">
      <text>
        <r>
          <rPr>
            <b/>
            <sz val="9"/>
            <color indexed="81"/>
            <rFont val="ＭＳ Ｐゴシック"/>
            <family val="3"/>
            <charset val="128"/>
          </rPr>
          <t>yayoi:</t>
        </r>
        <r>
          <rPr>
            <sz val="9"/>
            <color indexed="81"/>
            <rFont val="ＭＳ Ｐゴシック"/>
            <family val="3"/>
            <charset val="128"/>
          </rPr>
          <t xml:space="preserve">
売上金額の回収予定サイクルを選びます。
現金で販売する場合は「当月入金」、翌月に入金される場合は「１か月後入金」などをそれぞれ選択します。</t>
        </r>
      </text>
    </comment>
    <comment ref="L50" authorId="0">
      <text>
        <r>
          <rPr>
            <b/>
            <sz val="9"/>
            <color indexed="81"/>
            <rFont val="MS P ゴシック"/>
            <family val="3"/>
            <charset val="128"/>
          </rPr>
          <t>yayoi:</t>
        </r>
        <r>
          <rPr>
            <sz val="9"/>
            <color indexed="81"/>
            <rFont val="MS P ゴシック"/>
            <family val="3"/>
            <charset val="128"/>
          </rPr>
          <t xml:space="preserve">
オペレーション上も現在の人員や営業時間、席数で対応可能な人数か検討します。</t>
        </r>
      </text>
    </comment>
    <comment ref="D57" authorId="0">
      <text>
        <r>
          <rPr>
            <b/>
            <sz val="9"/>
            <color indexed="81"/>
            <rFont val="MS P ゴシック"/>
            <family val="3"/>
            <charset val="128"/>
          </rPr>
          <t>yayoi:</t>
        </r>
        <r>
          <rPr>
            <sz val="9"/>
            <color indexed="81"/>
            <rFont val="MS P ゴシック"/>
            <family val="3"/>
            <charset val="128"/>
          </rPr>
          <t xml:space="preserve">
実際の仕入単価が決まっていない場合は業種の平均原価率などを原価率に入力します。</t>
        </r>
      </text>
    </comment>
    <comment ref="G58" authorId="1">
      <text>
        <r>
          <rPr>
            <b/>
            <sz val="9"/>
            <color indexed="81"/>
            <rFont val="ＭＳ Ｐゴシック"/>
            <family val="3"/>
            <charset val="128"/>
          </rPr>
          <t>yayoi:</t>
        </r>
        <r>
          <rPr>
            <sz val="9"/>
            <color indexed="81"/>
            <rFont val="ＭＳ Ｐゴシック"/>
            <family val="3"/>
            <charset val="128"/>
          </rPr>
          <t xml:space="preserve">
仕入金額の支払予定サイクルを選びます。
現金で支払う場合は「当月支払」、翌月に支払う場合は「１か月後支払」などをそれぞれ選択します。</t>
        </r>
      </text>
    </comment>
    <comment ref="F66" authorId="1">
      <text>
        <r>
          <rPr>
            <b/>
            <sz val="9"/>
            <color indexed="81"/>
            <rFont val="ＭＳ Ｐゴシック"/>
            <family val="3"/>
            <charset val="128"/>
          </rPr>
          <t>yayoi:</t>
        </r>
        <r>
          <rPr>
            <sz val="9"/>
            <color indexed="81"/>
            <rFont val="ＭＳ Ｐゴシック"/>
            <family val="3"/>
            <charset val="128"/>
          </rPr>
          <t xml:space="preserve">
材料仕入について、個別に計算する場合は、原価率に「0」を入力します。軌道後も同じです
その場合は、合計の横に支払サイクルを選びます</t>
        </r>
      </text>
    </comment>
  </commentList>
</comments>
</file>

<file path=xl/comments2.xml><?xml version="1.0" encoding="utf-8"?>
<comments xmlns="http://schemas.openxmlformats.org/spreadsheetml/2006/main">
  <authors>
    <author>吉井英人</author>
  </authors>
  <commentList>
    <comment ref="B2" authorId="0">
      <text>
        <r>
          <rPr>
            <b/>
            <sz val="9"/>
            <color indexed="81"/>
            <rFont val="MS P ゴシック"/>
            <family val="3"/>
            <charset val="128"/>
          </rPr>
          <t>yayoi:</t>
        </r>
        <r>
          <rPr>
            <sz val="9"/>
            <color indexed="81"/>
            <rFont val="MS P ゴシック"/>
            <family val="3"/>
            <charset val="128"/>
          </rPr>
          <t xml:space="preserve">
最初は一人で始める場合でも、忙しくなってくると人を採用する必要が出てきます。
具体的に、どのくらいかかるかイメージのためにも作成しておきましょう。また人が何人まで稼働できる店舗（事務所）なのかも考えておきます。</t>
        </r>
      </text>
    </comment>
  </commentList>
</comments>
</file>

<file path=xl/comments3.xml><?xml version="1.0" encoding="utf-8"?>
<comments xmlns="http://schemas.openxmlformats.org/spreadsheetml/2006/main">
  <authors>
    <author>yayoi</author>
  </authors>
  <commentList>
    <comment ref="B4" authorId="0">
      <text>
        <r>
          <rPr>
            <b/>
            <sz val="9"/>
            <color indexed="81"/>
            <rFont val="ＭＳ Ｐゴシック"/>
            <family val="3"/>
            <charset val="128"/>
          </rPr>
          <t>yayoi:</t>
        </r>
        <r>
          <rPr>
            <sz val="9"/>
            <color indexed="81"/>
            <rFont val="ＭＳ Ｐゴシック"/>
            <family val="3"/>
            <charset val="128"/>
          </rPr>
          <t xml:space="preserve">
初期投資一覧表から転記されます。</t>
        </r>
      </text>
    </comment>
    <comment ref="D4" authorId="0">
      <text>
        <r>
          <rPr>
            <b/>
            <sz val="9"/>
            <color indexed="81"/>
            <rFont val="ＭＳ Ｐゴシック"/>
            <family val="3"/>
            <charset val="128"/>
          </rPr>
          <t>yayoi:</t>
        </r>
        <r>
          <rPr>
            <sz val="9"/>
            <color indexed="81"/>
            <rFont val="ＭＳ Ｐゴシック"/>
            <family val="3"/>
            <charset val="128"/>
          </rPr>
          <t xml:space="preserve">
償却方法を選択します。</t>
        </r>
      </text>
    </comment>
    <comment ref="E4" authorId="0">
      <text>
        <r>
          <rPr>
            <b/>
            <sz val="9"/>
            <color indexed="81"/>
            <rFont val="ＭＳ Ｐゴシック"/>
            <family val="3"/>
            <charset val="128"/>
          </rPr>
          <t>yayoi:</t>
        </r>
        <r>
          <rPr>
            <sz val="9"/>
            <color indexed="81"/>
            <rFont val="ＭＳ Ｐゴシック"/>
            <family val="3"/>
            <charset val="128"/>
          </rPr>
          <t xml:space="preserve">
法定耐用年数を調べて入力します</t>
        </r>
      </text>
    </comment>
    <comment ref="H16" authorId="0">
      <text>
        <r>
          <rPr>
            <b/>
            <sz val="9"/>
            <color indexed="81"/>
            <rFont val="ＭＳ Ｐゴシック"/>
            <family val="3"/>
            <charset val="128"/>
          </rPr>
          <t>yayoi:</t>
        </r>
        <r>
          <rPr>
            <sz val="9"/>
            <color indexed="81"/>
            <rFont val="ＭＳ Ｐゴシック"/>
            <family val="3"/>
            <charset val="128"/>
          </rPr>
          <t xml:space="preserve">
収益シミュレーションに転記されます。</t>
        </r>
      </text>
    </comment>
    <comment ref="K16" authorId="0">
      <text>
        <r>
          <rPr>
            <b/>
            <sz val="9"/>
            <color indexed="81"/>
            <rFont val="ＭＳ Ｐゴシック"/>
            <family val="3"/>
            <charset val="128"/>
          </rPr>
          <t>yayoi:</t>
        </r>
        <r>
          <rPr>
            <sz val="9"/>
            <color indexed="81"/>
            <rFont val="ＭＳ Ｐゴシック"/>
            <family val="3"/>
            <charset val="128"/>
          </rPr>
          <t xml:space="preserve">
収益シミュレーションに転記されます。</t>
        </r>
      </text>
    </comment>
  </commentList>
</comments>
</file>

<file path=xl/comments4.xml><?xml version="1.0" encoding="utf-8"?>
<comments xmlns="http://schemas.openxmlformats.org/spreadsheetml/2006/main">
  <authors>
    <author>yayoi</author>
    <author>吉井英人</author>
  </authors>
  <commentList>
    <comment ref="A2" authorId="0">
      <text>
        <r>
          <rPr>
            <b/>
            <sz val="9"/>
            <color indexed="81"/>
            <rFont val="ＭＳ Ｐゴシック"/>
            <family val="3"/>
            <charset val="128"/>
          </rPr>
          <t>yayoi:</t>
        </r>
        <r>
          <rPr>
            <sz val="9"/>
            <color indexed="81"/>
            <rFont val="ＭＳ Ｐゴシック"/>
            <family val="3"/>
            <charset val="128"/>
          </rPr>
          <t xml:space="preserve">
資金シミュレーションは、実際のお金の動きを記載しますので収益シュミレーションとはずれます。</t>
        </r>
      </text>
    </comment>
    <comment ref="E6" authorId="1">
      <text>
        <r>
          <rPr>
            <b/>
            <sz val="9"/>
            <color indexed="81"/>
            <rFont val="MS P ゴシック"/>
            <family val="3"/>
            <charset val="128"/>
          </rPr>
          <t>yayoi:</t>
        </r>
        <r>
          <rPr>
            <sz val="9"/>
            <color indexed="81"/>
            <rFont val="MS P ゴシック"/>
            <family val="3"/>
            <charset val="128"/>
          </rPr>
          <t xml:space="preserve">
入金ベースで作成します。</t>
        </r>
      </text>
    </comment>
    <comment ref="C17" authorId="1">
      <text>
        <r>
          <rPr>
            <b/>
            <sz val="9"/>
            <color indexed="81"/>
            <rFont val="MS P ゴシック"/>
            <family val="3"/>
            <charset val="128"/>
          </rPr>
          <t>yayoi:</t>
        </r>
        <r>
          <rPr>
            <sz val="9"/>
            <color indexed="81"/>
            <rFont val="MS P ゴシック"/>
            <family val="3"/>
            <charset val="128"/>
          </rPr>
          <t xml:space="preserve">
収益シミュレーションにあった減価償却費は、初期投資時点でお金が出ていくので、月額の支出としては出てきません。</t>
        </r>
      </text>
    </comment>
    <comment ref="C18" authorId="1">
      <text>
        <r>
          <rPr>
            <b/>
            <sz val="9"/>
            <color indexed="81"/>
            <rFont val="MS P ゴシック"/>
            <family val="3"/>
            <charset val="128"/>
          </rPr>
          <t>yayoi:</t>
        </r>
        <r>
          <rPr>
            <sz val="9"/>
            <color indexed="81"/>
            <rFont val="MS P ゴシック"/>
            <family val="3"/>
            <charset val="128"/>
          </rPr>
          <t xml:space="preserve">
法人の場合は、役員報酬も記載します。</t>
        </r>
      </text>
    </comment>
    <comment ref="M27" authorId="1">
      <text>
        <r>
          <rPr>
            <b/>
            <sz val="9"/>
            <color indexed="81"/>
            <rFont val="MS P ゴシック"/>
            <family val="3"/>
            <charset val="128"/>
          </rPr>
          <t>yayoi:</t>
        </r>
        <r>
          <rPr>
            <sz val="9"/>
            <color indexed="81"/>
            <rFont val="MS P ゴシック"/>
            <family val="3"/>
            <charset val="128"/>
          </rPr>
          <t xml:space="preserve">
法人→法定実効税率を利用しましょう。
個人事業→課税所得（所得－所得控除額）を概算で算出して、税額表により算出しましょう。</t>
        </r>
      </text>
    </comment>
    <comment ref="E35" authorId="0">
      <text>
        <r>
          <rPr>
            <b/>
            <sz val="9"/>
            <color indexed="81"/>
            <rFont val="ＭＳ Ｐゴシック"/>
            <family val="3"/>
            <charset val="128"/>
          </rPr>
          <t>yayoi:</t>
        </r>
        <r>
          <rPr>
            <sz val="9"/>
            <color indexed="81"/>
            <rFont val="ＭＳ Ｐゴシック"/>
            <family val="3"/>
            <charset val="128"/>
          </rPr>
          <t xml:space="preserve">
事業開始前の預金残高を入力します</t>
        </r>
      </text>
    </comment>
    <comment ref="E37" authorId="1">
      <text>
        <r>
          <rPr>
            <b/>
            <sz val="9"/>
            <color indexed="81"/>
            <rFont val="MS P ゴシック"/>
            <family val="3"/>
            <charset val="128"/>
          </rPr>
          <t>yayoi:</t>
        </r>
        <r>
          <rPr>
            <sz val="9"/>
            <color indexed="81"/>
            <rFont val="MS P ゴシック"/>
            <family val="3"/>
            <charset val="128"/>
          </rPr>
          <t xml:space="preserve">
借入金額を記載します。</t>
        </r>
      </text>
    </comment>
    <comment ref="G41" authorId="0">
      <text>
        <r>
          <rPr>
            <b/>
            <sz val="9"/>
            <color indexed="81"/>
            <rFont val="ＭＳ Ｐゴシック"/>
            <family val="3"/>
            <charset val="128"/>
          </rPr>
          <t>yayoi:</t>
        </r>
        <r>
          <rPr>
            <sz val="9"/>
            <color indexed="81"/>
            <rFont val="ＭＳ Ｐゴシック"/>
            <family val="3"/>
            <charset val="128"/>
          </rPr>
          <t xml:space="preserve">
銀行等からの「ご返済予定表」に基づき記載します。</t>
        </r>
      </text>
    </comment>
    <comment ref="E43" authorId="1">
      <text>
        <r>
          <rPr>
            <b/>
            <sz val="9"/>
            <color indexed="81"/>
            <rFont val="MS P ゴシック"/>
            <family val="3"/>
            <charset val="128"/>
          </rPr>
          <t>yayoi:</t>
        </r>
        <r>
          <rPr>
            <sz val="9"/>
            <color indexed="81"/>
            <rFont val="MS P ゴシック"/>
            <family val="3"/>
            <charset val="128"/>
          </rPr>
          <t xml:space="preserve">
起業の投資額を記載します。初期投資一覧表から自動で転記されます。</t>
        </r>
      </text>
    </comment>
    <comment ref="C44" authorId="1">
      <text>
        <r>
          <rPr>
            <b/>
            <sz val="9"/>
            <color indexed="81"/>
            <rFont val="MS P ゴシック"/>
            <family val="3"/>
            <charset val="128"/>
          </rPr>
          <t>yayoi:</t>
        </r>
        <r>
          <rPr>
            <sz val="9"/>
            <color indexed="81"/>
            <rFont val="MS P ゴシック"/>
            <family val="3"/>
            <charset val="128"/>
          </rPr>
          <t xml:space="preserve">
個人事業の場合は生活費も記載しましょう。</t>
        </r>
      </text>
    </comment>
  </commentList>
</comments>
</file>

<file path=xl/sharedStrings.xml><?xml version="1.0" encoding="utf-8"?>
<sst xmlns="http://schemas.openxmlformats.org/spreadsheetml/2006/main" count="338" uniqueCount="224">
  <si>
    <t>合計</t>
    <rPh sb="0" eb="2">
      <t>ゴウケイ</t>
    </rPh>
    <phoneticPr fontId="2"/>
  </si>
  <si>
    <t>月固定</t>
    <rPh sb="0" eb="1">
      <t>ツキ</t>
    </rPh>
    <rPh sb="1" eb="3">
      <t>コテイ</t>
    </rPh>
    <phoneticPr fontId="2"/>
  </si>
  <si>
    <t>賃金/月</t>
    <rPh sb="0" eb="2">
      <t>チンギン</t>
    </rPh>
    <rPh sb="3" eb="4">
      <t>ツキ</t>
    </rPh>
    <phoneticPr fontId="2"/>
  </si>
  <si>
    <t>区分</t>
    <rPh sb="0" eb="2">
      <t>クブン</t>
    </rPh>
    <phoneticPr fontId="2"/>
  </si>
  <si>
    <t>種別</t>
    <rPh sb="0" eb="2">
      <t>シュベツ</t>
    </rPh>
    <phoneticPr fontId="2"/>
  </si>
  <si>
    <t>土</t>
  </si>
  <si>
    <t>金</t>
  </si>
  <si>
    <t>木</t>
  </si>
  <si>
    <t>水</t>
  </si>
  <si>
    <t>火</t>
    <rPh sb="0" eb="1">
      <t>カ</t>
    </rPh>
    <phoneticPr fontId="2"/>
  </si>
  <si>
    <t>月</t>
    <rPh sb="0" eb="1">
      <t>ゲツ</t>
    </rPh>
    <phoneticPr fontId="2"/>
  </si>
  <si>
    <t>日</t>
  </si>
  <si>
    <t>時間</t>
    <rPh sb="0" eb="2">
      <t>ジカン</t>
    </rPh>
    <phoneticPr fontId="2"/>
  </si>
  <si>
    <t>時間帯</t>
    <rPh sb="0" eb="3">
      <t>ジカンタイ</t>
    </rPh>
    <phoneticPr fontId="2"/>
  </si>
  <si>
    <t>金額</t>
    <rPh sb="0" eb="2">
      <t>キンガク</t>
    </rPh>
    <phoneticPr fontId="2"/>
  </si>
  <si>
    <t>【設定賃金】</t>
    <rPh sb="1" eb="3">
      <t>セッテイ</t>
    </rPh>
    <rPh sb="3" eb="5">
      <t>チンギン</t>
    </rPh>
    <phoneticPr fontId="2"/>
  </si>
  <si>
    <t>人件費</t>
    <rPh sb="0" eb="3">
      <t>ジンケンヒ</t>
    </rPh>
    <phoneticPr fontId="2"/>
  </si>
  <si>
    <t>売上/月</t>
    <rPh sb="0" eb="2">
      <t>ウリアゲ</t>
    </rPh>
    <rPh sb="3" eb="4">
      <t>ツキ</t>
    </rPh>
    <phoneticPr fontId="2"/>
  </si>
  <si>
    <t>売上/日</t>
    <rPh sb="0" eb="2">
      <t>ウリアゲ</t>
    </rPh>
    <rPh sb="3" eb="4">
      <t>ヒ</t>
    </rPh>
    <phoneticPr fontId="2"/>
  </si>
  <si>
    <t>○</t>
    <phoneticPr fontId="2"/>
  </si>
  <si>
    <t>○</t>
    <phoneticPr fontId="2"/>
  </si>
  <si>
    <t>客単価</t>
    <rPh sb="0" eb="3">
      <t>キャクタンカ</t>
    </rPh>
    <phoneticPr fontId="2"/>
  </si>
  <si>
    <t>売上試算</t>
    <rPh sb="0" eb="2">
      <t>ウリアゲ</t>
    </rPh>
    <rPh sb="2" eb="4">
      <t>シサン</t>
    </rPh>
    <phoneticPr fontId="2"/>
  </si>
  <si>
    <t xml:space="preserve"> 営業利益</t>
    <phoneticPr fontId="2"/>
  </si>
  <si>
    <t>福利、消耗品費</t>
    <rPh sb="0" eb="2">
      <t>フクリ</t>
    </rPh>
    <rPh sb="3" eb="5">
      <t>ショウモウ</t>
    </rPh>
    <rPh sb="5" eb="6">
      <t>ヒン</t>
    </rPh>
    <rPh sb="6" eb="7">
      <t>ヒ</t>
    </rPh>
    <phoneticPr fontId="2"/>
  </si>
  <si>
    <t>税理士報酬</t>
    <rPh sb="0" eb="3">
      <t>ゼイリシ</t>
    </rPh>
    <rPh sb="3" eb="5">
      <t>ホウシュウ</t>
    </rPh>
    <phoneticPr fontId="2"/>
  </si>
  <si>
    <t>宣伝広告費</t>
    <rPh sb="0" eb="2">
      <t>センデン</t>
    </rPh>
    <rPh sb="2" eb="5">
      <t>コウコクヒ</t>
    </rPh>
    <phoneticPr fontId="2"/>
  </si>
  <si>
    <t>水道光熱費</t>
    <rPh sb="0" eb="2">
      <t>スイドウ</t>
    </rPh>
    <rPh sb="2" eb="5">
      <t>コウネツヒ</t>
    </rPh>
    <phoneticPr fontId="2"/>
  </si>
  <si>
    <t>通信費</t>
    <rPh sb="0" eb="3">
      <t>ツウシンヒ</t>
    </rPh>
    <phoneticPr fontId="2"/>
  </si>
  <si>
    <t>支払利息</t>
    <rPh sb="0" eb="2">
      <t>シハライ</t>
    </rPh>
    <rPh sb="2" eb="4">
      <t>リソク</t>
    </rPh>
    <phoneticPr fontId="2"/>
  </si>
  <si>
    <t>地代家賃</t>
    <rPh sb="0" eb="4">
      <t>チダイヤチン</t>
    </rPh>
    <phoneticPr fontId="2"/>
  </si>
  <si>
    <t>人件費</t>
    <phoneticPr fontId="2"/>
  </si>
  <si>
    <t>販管費合計</t>
    <rPh sb="0" eb="3">
      <t>ハンカンヒ</t>
    </rPh>
    <rPh sb="3" eb="5">
      <t>ゴウケイ</t>
    </rPh>
    <phoneticPr fontId="2"/>
  </si>
  <si>
    <t xml:space="preserve"> 売上高総利益</t>
    <phoneticPr fontId="2"/>
  </si>
  <si>
    <t xml:space="preserve"> 売上原価</t>
    <phoneticPr fontId="2"/>
  </si>
  <si>
    <t xml:space="preserve"> 売上高</t>
    <phoneticPr fontId="2"/>
  </si>
  <si>
    <t>月</t>
    <rPh sb="0" eb="1">
      <t>ツキ</t>
    </rPh>
    <phoneticPr fontId="2"/>
  </si>
  <si>
    <t>年</t>
    <rPh sb="0" eb="1">
      <t>ネン</t>
    </rPh>
    <phoneticPr fontId="2"/>
  </si>
  <si>
    <t>（単位：円）</t>
    <rPh sb="1" eb="3">
      <t>タンイ</t>
    </rPh>
    <rPh sb="4" eb="5">
      <t>エン</t>
    </rPh>
    <phoneticPr fontId="2"/>
  </si>
  <si>
    <t>減価償却費</t>
    <rPh sb="0" eb="2">
      <t>ゲンカ</t>
    </rPh>
    <rPh sb="2" eb="4">
      <t>ショウキャク</t>
    </rPh>
    <rPh sb="4" eb="5">
      <t>ヒ</t>
    </rPh>
    <phoneticPr fontId="2"/>
  </si>
  <si>
    <t>経費</t>
    <rPh sb="0" eb="2">
      <t>ケイヒ</t>
    </rPh>
    <phoneticPr fontId="2"/>
  </si>
  <si>
    <t>その他</t>
    <rPh sb="2" eb="3">
      <t>タ</t>
    </rPh>
    <phoneticPr fontId="2"/>
  </si>
  <si>
    <t>事業の見通し（月平均）</t>
    <rPh sb="0" eb="2">
      <t>ジギョウ</t>
    </rPh>
    <rPh sb="3" eb="4">
      <t>ミ</t>
    </rPh>
    <rPh sb="4" eb="5">
      <t>トオ</t>
    </rPh>
    <rPh sb="7" eb="8">
      <t>ツキ</t>
    </rPh>
    <rPh sb="8" eb="10">
      <t>ヘイキン</t>
    </rPh>
    <phoneticPr fontId="2"/>
  </si>
  <si>
    <t>創業当初</t>
    <rPh sb="0" eb="2">
      <t>ソウギョウ</t>
    </rPh>
    <rPh sb="2" eb="4">
      <t>トウショ</t>
    </rPh>
    <phoneticPr fontId="2"/>
  </si>
  <si>
    <t>軌道後</t>
    <rPh sb="0" eb="2">
      <t>キドウ</t>
    </rPh>
    <rPh sb="2" eb="3">
      <t>ゴ</t>
    </rPh>
    <phoneticPr fontId="2"/>
  </si>
  <si>
    <t xml:space="preserve"> 利益</t>
    <rPh sb="1" eb="3">
      <t>リエキ</t>
    </rPh>
    <phoneticPr fontId="2"/>
  </si>
  <si>
    <t>職務経歴概要</t>
    <rPh sb="0" eb="2">
      <t>ショクム</t>
    </rPh>
    <rPh sb="2" eb="4">
      <t>ケイレキ</t>
    </rPh>
    <rPh sb="4" eb="6">
      <t>ガイヨウ</t>
    </rPh>
    <phoneticPr fontId="2"/>
  </si>
  <si>
    <t>在籍社名</t>
    <rPh sb="0" eb="2">
      <t>ザイセキ</t>
    </rPh>
    <rPh sb="2" eb="4">
      <t>シャメイ</t>
    </rPh>
    <phoneticPr fontId="2"/>
  </si>
  <si>
    <t>店舗名</t>
    <rPh sb="0" eb="2">
      <t>テンポ</t>
    </rPh>
    <rPh sb="2" eb="3">
      <t>メイ</t>
    </rPh>
    <phoneticPr fontId="2"/>
  </si>
  <si>
    <t>業種業態</t>
    <rPh sb="0" eb="2">
      <t>ギョウシュ</t>
    </rPh>
    <rPh sb="2" eb="4">
      <t>ギョウタイ</t>
    </rPh>
    <phoneticPr fontId="2"/>
  </si>
  <si>
    <t>業務内容/ポジション</t>
    <rPh sb="0" eb="2">
      <t>ギョウム</t>
    </rPh>
    <rPh sb="2" eb="4">
      <t>ナイヨウ</t>
    </rPh>
    <phoneticPr fontId="2"/>
  </si>
  <si>
    <t>特記事項</t>
    <rPh sb="0" eb="2">
      <t>トッキ</t>
    </rPh>
    <rPh sb="2" eb="4">
      <t>ジコウ</t>
    </rPh>
    <phoneticPr fontId="2"/>
  </si>
  <si>
    <t>開始日</t>
    <rPh sb="0" eb="2">
      <t>カイシ</t>
    </rPh>
    <rPh sb="2" eb="3">
      <t>ヒ</t>
    </rPh>
    <phoneticPr fontId="2"/>
  </si>
  <si>
    <t>終了日</t>
    <rPh sb="0" eb="3">
      <t>シュウリョウビ</t>
    </rPh>
    <phoneticPr fontId="2"/>
  </si>
  <si>
    <t>配偶者</t>
    <rPh sb="0" eb="3">
      <t>ハイグウシャ</t>
    </rPh>
    <phoneticPr fontId="2"/>
  </si>
  <si>
    <t>人</t>
    <rPh sb="0" eb="1">
      <t>ニン</t>
    </rPh>
    <phoneticPr fontId="2"/>
  </si>
  <si>
    <t>家族構成/扶養の義務</t>
    <rPh sb="0" eb="2">
      <t>カゾク</t>
    </rPh>
    <rPh sb="2" eb="4">
      <t>コウセイ</t>
    </rPh>
    <rPh sb="5" eb="7">
      <t>フヨウ</t>
    </rPh>
    <rPh sb="8" eb="10">
      <t>ギム</t>
    </rPh>
    <phoneticPr fontId="2"/>
  </si>
  <si>
    <t>扶養家族数
（配偶者を除く）</t>
    <rPh sb="0" eb="2">
      <t>フヨウ</t>
    </rPh>
    <rPh sb="2" eb="4">
      <t>カゾク</t>
    </rPh>
    <rPh sb="4" eb="5">
      <t>スウ</t>
    </rPh>
    <rPh sb="7" eb="10">
      <t>ハイグウシャ</t>
    </rPh>
    <rPh sb="11" eb="12">
      <t>ノゾ</t>
    </rPh>
    <phoneticPr fontId="2"/>
  </si>
  <si>
    <t>配偶者の扶養義務</t>
    <phoneticPr fontId="2"/>
  </si>
  <si>
    <t>配偶者の収入</t>
    <rPh sb="0" eb="3">
      <t>ハイグウシャ</t>
    </rPh>
    <rPh sb="4" eb="6">
      <t>シュウニュウ</t>
    </rPh>
    <phoneticPr fontId="2"/>
  </si>
  <si>
    <t>年収</t>
    <rPh sb="0" eb="2">
      <t>ネンシュウ</t>
    </rPh>
    <phoneticPr fontId="2"/>
  </si>
  <si>
    <t>万円</t>
    <rPh sb="0" eb="2">
      <t>マンエン</t>
    </rPh>
    <phoneticPr fontId="2"/>
  </si>
  <si>
    <t>営業日数/月</t>
    <rPh sb="0" eb="2">
      <t>エイギョウ</t>
    </rPh>
    <rPh sb="2" eb="4">
      <t>ニッスウ</t>
    </rPh>
    <rPh sb="5" eb="6">
      <t>ツキ</t>
    </rPh>
    <phoneticPr fontId="2"/>
  </si>
  <si>
    <t>【席数】</t>
    <rPh sb="1" eb="3">
      <t>セキスウ</t>
    </rPh>
    <phoneticPr fontId="2"/>
  </si>
  <si>
    <t>席数</t>
    <rPh sb="0" eb="2">
      <t>セキスウ</t>
    </rPh>
    <phoneticPr fontId="2"/>
  </si>
  <si>
    <t>●基本情報</t>
    <rPh sb="1" eb="3">
      <t>キホン</t>
    </rPh>
    <rPh sb="3" eb="5">
      <t>ジョウホウ</t>
    </rPh>
    <phoneticPr fontId="2"/>
  </si>
  <si>
    <t>【創業当初】</t>
    <rPh sb="1" eb="3">
      <t>ソウギョウ</t>
    </rPh>
    <rPh sb="3" eb="5">
      <t>トウショ</t>
    </rPh>
    <phoneticPr fontId="2"/>
  </si>
  <si>
    <t>【軌道後】</t>
    <rPh sb="1" eb="3">
      <t>キドウ</t>
    </rPh>
    <rPh sb="3" eb="4">
      <t>ゴ</t>
    </rPh>
    <phoneticPr fontId="2"/>
  </si>
  <si>
    <t>営業区分</t>
    <rPh sb="0" eb="2">
      <t>エイギョウ</t>
    </rPh>
    <rPh sb="2" eb="4">
      <t>クブン</t>
    </rPh>
    <phoneticPr fontId="2"/>
  </si>
  <si>
    <t>創業当初期間：6ヶ月に設定</t>
    <rPh sb="0" eb="2">
      <t>ソウギョウ</t>
    </rPh>
    <rPh sb="2" eb="4">
      <t>トウショ</t>
    </rPh>
    <rPh sb="4" eb="6">
      <t>キカン</t>
    </rPh>
    <rPh sb="9" eb="10">
      <t>ゲツ</t>
    </rPh>
    <rPh sb="11" eb="13">
      <t>セッテイ</t>
    </rPh>
    <phoneticPr fontId="2"/>
  </si>
  <si>
    <t>通常営業</t>
    <rPh sb="0" eb="2">
      <t>ツウジョウ</t>
    </rPh>
    <rPh sb="2" eb="4">
      <t>エイギョウ</t>
    </rPh>
    <phoneticPr fontId="2"/>
  </si>
  <si>
    <t>延長営業</t>
    <rPh sb="0" eb="2">
      <t>エンチョウ</t>
    </rPh>
    <rPh sb="2" eb="4">
      <t>エイギョウ</t>
    </rPh>
    <phoneticPr fontId="2"/>
  </si>
  <si>
    <t>時短営業</t>
    <rPh sb="0" eb="2">
      <t>ジタン</t>
    </rPh>
    <rPh sb="2" eb="4">
      <t>エイギョウ</t>
    </rPh>
    <phoneticPr fontId="2"/>
  </si>
  <si>
    <t>曜日</t>
    <rPh sb="0" eb="2">
      <t>ヨウビ</t>
    </rPh>
    <phoneticPr fontId="2"/>
  </si>
  <si>
    <t>営業</t>
    <rPh sb="0" eb="2">
      <t>エイギョウ</t>
    </rPh>
    <phoneticPr fontId="2"/>
  </si>
  <si>
    <t>－</t>
  </si>
  <si>
    <t>－</t>
    <phoneticPr fontId="2"/>
  </si>
  <si>
    <t>－</t>
    <phoneticPr fontId="2"/>
  </si>
  <si>
    <t>延長</t>
  </si>
  <si>
    <t>通常</t>
  </si>
  <si>
    <t>カット</t>
    <phoneticPr fontId="2"/>
  </si>
  <si>
    <t>縮毛矯正</t>
    <rPh sb="0" eb="4">
      <t>シュクモウキョウセイ</t>
    </rPh>
    <phoneticPr fontId="2"/>
  </si>
  <si>
    <t>メニュー</t>
    <phoneticPr fontId="2"/>
  </si>
  <si>
    <t>エクステ</t>
    <phoneticPr fontId="2"/>
  </si>
  <si>
    <t>ヘッドスパ</t>
    <phoneticPr fontId="2"/>
  </si>
  <si>
    <t>シャンプー</t>
    <phoneticPr fontId="2"/>
  </si>
  <si>
    <t>ヘアセット</t>
    <phoneticPr fontId="2"/>
  </si>
  <si>
    <t>ネイル</t>
    <phoneticPr fontId="2"/>
  </si>
  <si>
    <t>まつ毛エクステ</t>
    <rPh sb="2" eb="3">
      <t>ゲ</t>
    </rPh>
    <phoneticPr fontId="2"/>
  </si>
  <si>
    <t>眉カラー・カット</t>
    <rPh sb="0" eb="1">
      <t>マユ</t>
    </rPh>
    <phoneticPr fontId="2"/>
  </si>
  <si>
    <t>シャンプー</t>
    <phoneticPr fontId="2"/>
  </si>
  <si>
    <t>【営業日】</t>
    <rPh sb="1" eb="4">
      <t>エイギョウビ</t>
    </rPh>
    <phoneticPr fontId="2"/>
  </si>
  <si>
    <t>【営業時間】</t>
    <rPh sb="1" eb="3">
      <t>エイギョウ</t>
    </rPh>
    <rPh sb="3" eb="5">
      <t>ジカン</t>
    </rPh>
    <phoneticPr fontId="2"/>
  </si>
  <si>
    <t>【単価設定】</t>
    <rPh sb="1" eb="3">
      <t>タンカ</t>
    </rPh>
    <rPh sb="3" eb="5">
      <t>セッテイ</t>
    </rPh>
    <phoneticPr fontId="2"/>
  </si>
  <si>
    <t>カラー</t>
    <phoneticPr fontId="2"/>
  </si>
  <si>
    <t>物販（ケア用品等）</t>
    <rPh sb="0" eb="2">
      <t>ブッパン</t>
    </rPh>
    <rPh sb="5" eb="7">
      <t>ヨウヒン</t>
    </rPh>
    <rPh sb="7" eb="8">
      <t>トウ</t>
    </rPh>
    <phoneticPr fontId="2"/>
  </si>
  <si>
    <t>延客数/日</t>
    <rPh sb="0" eb="1">
      <t>ノベ</t>
    </rPh>
    <rPh sb="1" eb="2">
      <t>キャク</t>
    </rPh>
    <rPh sb="2" eb="3">
      <t>スウ</t>
    </rPh>
    <rPh sb="4" eb="5">
      <t>ヒ</t>
    </rPh>
    <phoneticPr fontId="2"/>
  </si>
  <si>
    <t>延客数/月</t>
    <rPh sb="0" eb="1">
      <t>ノベ</t>
    </rPh>
    <rPh sb="1" eb="2">
      <t>キャク</t>
    </rPh>
    <rPh sb="2" eb="3">
      <t>スウ</t>
    </rPh>
    <rPh sb="4" eb="5">
      <t>ツキ</t>
    </rPh>
    <phoneticPr fontId="2"/>
  </si>
  <si>
    <t>平均回転率/日</t>
    <rPh sb="0" eb="2">
      <t>ヘイキン</t>
    </rPh>
    <rPh sb="2" eb="4">
      <t>カイテン</t>
    </rPh>
    <rPh sb="4" eb="5">
      <t>リツ</t>
    </rPh>
    <rPh sb="6" eb="7">
      <t>ヒ</t>
    </rPh>
    <phoneticPr fontId="2"/>
  </si>
  <si>
    <t>顧客数換算/日</t>
    <rPh sb="0" eb="2">
      <t>コキャク</t>
    </rPh>
    <rPh sb="2" eb="3">
      <t>スウ</t>
    </rPh>
    <rPh sb="3" eb="5">
      <t>カンサン</t>
    </rPh>
    <rPh sb="6" eb="7">
      <t>ヒ</t>
    </rPh>
    <phoneticPr fontId="2"/>
  </si>
  <si>
    <t>平均客単価</t>
    <rPh sb="0" eb="2">
      <t>ヘイキン</t>
    </rPh>
    <rPh sb="2" eb="5">
      <t>キャクタンカ</t>
    </rPh>
    <phoneticPr fontId="2"/>
  </si>
  <si>
    <t>カラー剤</t>
    <rPh sb="3" eb="4">
      <t>ザイ</t>
    </rPh>
    <phoneticPr fontId="2"/>
  </si>
  <si>
    <t>整髪料</t>
    <rPh sb="0" eb="2">
      <t>セイハツ</t>
    </rPh>
    <rPh sb="2" eb="3">
      <t>リョウ</t>
    </rPh>
    <phoneticPr fontId="2"/>
  </si>
  <si>
    <t>エクステ材料</t>
    <rPh sb="4" eb="6">
      <t>ザイリョウ</t>
    </rPh>
    <phoneticPr fontId="2"/>
  </si>
  <si>
    <t>まつ毛エクステ材料</t>
    <rPh sb="2" eb="3">
      <t>ゲ</t>
    </rPh>
    <rPh sb="7" eb="9">
      <t>ザイリョウ</t>
    </rPh>
    <phoneticPr fontId="2"/>
  </si>
  <si>
    <t>ネイル材料</t>
    <rPh sb="3" eb="5">
      <t>ザイリョウ</t>
    </rPh>
    <phoneticPr fontId="2"/>
  </si>
  <si>
    <t>縮毛矯正材料</t>
    <rPh sb="0" eb="4">
      <t>シュクモウキョウセイ</t>
    </rPh>
    <rPh sb="4" eb="6">
      <t>ザイリョウ</t>
    </rPh>
    <phoneticPr fontId="2"/>
  </si>
  <si>
    <t>項目</t>
    <rPh sb="0" eb="2">
      <t>コウモク</t>
    </rPh>
    <phoneticPr fontId="2"/>
  </si>
  <si>
    <t>単価</t>
    <rPh sb="0" eb="2">
      <t>タンカ</t>
    </rPh>
    <phoneticPr fontId="2"/>
  </si>
  <si>
    <t>数量</t>
    <rPh sb="0" eb="2">
      <t>スウリョウ</t>
    </rPh>
    <phoneticPr fontId="2"/>
  </si>
  <si>
    <t>●材料仕入れ（1ヶ月あたり）</t>
    <rPh sb="1" eb="3">
      <t>ザイリョウ</t>
    </rPh>
    <rPh sb="3" eb="5">
      <t>シイ</t>
    </rPh>
    <rPh sb="9" eb="10">
      <t>ゲツ</t>
    </rPh>
    <phoneticPr fontId="2"/>
  </si>
  <si>
    <t>人数</t>
    <rPh sb="0" eb="2">
      <t>ニンズウ</t>
    </rPh>
    <phoneticPr fontId="2"/>
  </si>
  <si>
    <t>休</t>
  </si>
  <si>
    <t>○</t>
  </si>
  <si>
    <t>パーマ</t>
    <phoneticPr fontId="2"/>
  </si>
  <si>
    <t>カラー（カット込）</t>
    <rPh sb="7" eb="8">
      <t>コミ</t>
    </rPh>
    <phoneticPr fontId="2"/>
  </si>
  <si>
    <t>アシスタント</t>
    <phoneticPr fontId="2"/>
  </si>
  <si>
    <t>スタイリスト1</t>
    <phoneticPr fontId="2"/>
  </si>
  <si>
    <t>スタイリスト2</t>
    <phoneticPr fontId="2"/>
  </si>
  <si>
    <t>その他</t>
    <rPh sb="2" eb="3">
      <t>タ</t>
    </rPh>
    <phoneticPr fontId="2"/>
  </si>
  <si>
    <t>１期目合計</t>
    <rPh sb="1" eb="2">
      <t>キ</t>
    </rPh>
    <rPh sb="2" eb="3">
      <t>メ</t>
    </rPh>
    <rPh sb="3" eb="5">
      <t>ゴウケイ</t>
    </rPh>
    <phoneticPr fontId="2"/>
  </si>
  <si>
    <t>２期目合計</t>
    <rPh sb="1" eb="2">
      <t>キ</t>
    </rPh>
    <rPh sb="2" eb="3">
      <t>メ</t>
    </rPh>
    <rPh sb="3" eb="5">
      <t>ゴウケイ</t>
    </rPh>
    <phoneticPr fontId="2"/>
  </si>
  <si>
    <t>平成20年</t>
    <rPh sb="0" eb="2">
      <t>ヘイセイ</t>
    </rPh>
    <rPh sb="4" eb="5">
      <t>ネン</t>
    </rPh>
    <phoneticPr fontId="2"/>
  </si>
  <si>
    <t>平成28年</t>
    <rPh sb="0" eb="2">
      <t>ヘイセイ</t>
    </rPh>
    <rPh sb="4" eb="5">
      <t>ネン</t>
    </rPh>
    <phoneticPr fontId="2"/>
  </si>
  <si>
    <t>美容院弥生</t>
    <rPh sb="0" eb="3">
      <t>ビヨウイン</t>
    </rPh>
    <rPh sb="3" eb="5">
      <t>ヤヨイ</t>
    </rPh>
    <phoneticPr fontId="2"/>
  </si>
  <si>
    <t>神田</t>
    <rPh sb="0" eb="2">
      <t>カンダ</t>
    </rPh>
    <phoneticPr fontId="2"/>
  </si>
  <si>
    <t>理美容</t>
    <rPh sb="0" eb="3">
      <t>リビヨウ</t>
    </rPh>
    <phoneticPr fontId="2"/>
  </si>
  <si>
    <t>有</t>
  </si>
  <si>
    <t>●売上げ予測</t>
    <rPh sb="1" eb="3">
      <t>ウリア</t>
    </rPh>
    <rPh sb="4" eb="6">
      <t>ヨソク</t>
    </rPh>
    <phoneticPr fontId="2"/>
  </si>
  <si>
    <t>原価率</t>
    <rPh sb="0" eb="2">
      <t>ゲンカ</t>
    </rPh>
    <rPh sb="2" eb="3">
      <t>リツ</t>
    </rPh>
    <phoneticPr fontId="2"/>
  </si>
  <si>
    <t>収入</t>
    <rPh sb="0" eb="2">
      <t>シュウニュウ</t>
    </rPh>
    <phoneticPr fontId="2"/>
  </si>
  <si>
    <t>差し引き過不足</t>
    <rPh sb="0" eb="1">
      <t>サ</t>
    </rPh>
    <rPh sb="2" eb="3">
      <t>ヒ</t>
    </rPh>
    <rPh sb="4" eb="7">
      <t>カフソク</t>
    </rPh>
    <phoneticPr fontId="2"/>
  </si>
  <si>
    <t>売上原価</t>
    <rPh sb="0" eb="2">
      <t>ウリアゲ</t>
    </rPh>
    <rPh sb="2" eb="4">
      <t>ゲンカ</t>
    </rPh>
    <phoneticPr fontId="2"/>
  </si>
  <si>
    <t>前月より繰越し</t>
    <rPh sb="0" eb="2">
      <t>ゼンゲツ</t>
    </rPh>
    <rPh sb="4" eb="6">
      <t>クリコ</t>
    </rPh>
    <phoneticPr fontId="2"/>
  </si>
  <si>
    <t>借入金</t>
    <rPh sb="0" eb="2">
      <t>カリイレ</t>
    </rPh>
    <rPh sb="2" eb="3">
      <t>キン</t>
    </rPh>
    <phoneticPr fontId="2"/>
  </si>
  <si>
    <t>借入金返済</t>
    <rPh sb="0" eb="2">
      <t>カリイレ</t>
    </rPh>
    <rPh sb="2" eb="3">
      <t>キン</t>
    </rPh>
    <rPh sb="3" eb="5">
      <t>ヘンサイ</t>
    </rPh>
    <phoneticPr fontId="2"/>
  </si>
  <si>
    <t>翌月繰越し</t>
    <rPh sb="0" eb="2">
      <t>ヨクゲツ</t>
    </rPh>
    <rPh sb="2" eb="4">
      <t>クリコ</t>
    </rPh>
    <phoneticPr fontId="2"/>
  </si>
  <si>
    <t>税金</t>
    <rPh sb="0" eb="2">
      <t>ゼイキン</t>
    </rPh>
    <phoneticPr fontId="2"/>
  </si>
  <si>
    <t>資金シミュレーション</t>
    <rPh sb="0" eb="2">
      <t>シキン</t>
    </rPh>
    <phoneticPr fontId="2"/>
  </si>
  <si>
    <t>支出</t>
    <rPh sb="0" eb="2">
      <t>シシュツ</t>
    </rPh>
    <phoneticPr fontId="2"/>
  </si>
  <si>
    <t>資産購入費用</t>
    <rPh sb="0" eb="2">
      <t>シサン</t>
    </rPh>
    <rPh sb="2" eb="4">
      <t>コウニュウ</t>
    </rPh>
    <rPh sb="4" eb="6">
      <t>ヒヨウ</t>
    </rPh>
    <phoneticPr fontId="2"/>
  </si>
  <si>
    <t>収入計</t>
    <rPh sb="0" eb="2">
      <t>シュウニュウ</t>
    </rPh>
    <rPh sb="2" eb="3">
      <t>ケイ</t>
    </rPh>
    <phoneticPr fontId="2"/>
  </si>
  <si>
    <t>支出計</t>
    <rPh sb="0" eb="2">
      <t>シシュツ</t>
    </rPh>
    <rPh sb="2" eb="3">
      <t>ケイ</t>
    </rPh>
    <phoneticPr fontId="2"/>
  </si>
  <si>
    <t>設備一覧表</t>
    <rPh sb="0" eb="2">
      <t>セツビ</t>
    </rPh>
    <rPh sb="2" eb="4">
      <t>イチラン</t>
    </rPh>
    <rPh sb="4" eb="5">
      <t>ヒョウ</t>
    </rPh>
    <phoneticPr fontId="2"/>
  </si>
  <si>
    <t>名称</t>
    <rPh sb="0" eb="2">
      <t>メイショウ</t>
    </rPh>
    <phoneticPr fontId="2"/>
  </si>
  <si>
    <t>取得金額</t>
    <rPh sb="0" eb="2">
      <t>シュトク</t>
    </rPh>
    <rPh sb="2" eb="4">
      <t>キンガク</t>
    </rPh>
    <phoneticPr fontId="2"/>
  </si>
  <si>
    <t>償却方法</t>
    <rPh sb="0" eb="4">
      <t>ショウキャクホウホウ</t>
    </rPh>
    <phoneticPr fontId="2"/>
  </si>
  <si>
    <t>償却率</t>
    <rPh sb="0" eb="3">
      <t>ショウキャクリツ</t>
    </rPh>
    <phoneticPr fontId="2"/>
  </si>
  <si>
    <t>内装設備</t>
    <rPh sb="0" eb="2">
      <t>ナイソウ</t>
    </rPh>
    <rPh sb="2" eb="4">
      <t>セツビ</t>
    </rPh>
    <phoneticPr fontId="2"/>
  </si>
  <si>
    <t>定額法</t>
    <rPh sb="0" eb="2">
      <t>テイガク</t>
    </rPh>
    <rPh sb="2" eb="3">
      <t>ホウ</t>
    </rPh>
    <phoneticPr fontId="2"/>
  </si>
  <si>
    <t>耐用年数（年）</t>
    <rPh sb="0" eb="2">
      <t>タイヨウ</t>
    </rPh>
    <rPh sb="2" eb="4">
      <t>ネンスウ</t>
    </rPh>
    <rPh sb="5" eb="6">
      <t>ネン</t>
    </rPh>
    <phoneticPr fontId="2"/>
  </si>
  <si>
    <t>合　　　計</t>
    <rPh sb="0" eb="1">
      <t>ゴウ</t>
    </rPh>
    <rPh sb="4" eb="5">
      <t>ケイ</t>
    </rPh>
    <phoneticPr fontId="2"/>
  </si>
  <si>
    <t>初期投資一覧表</t>
    <rPh sb="0" eb="2">
      <t>ショキ</t>
    </rPh>
    <rPh sb="2" eb="4">
      <t>トウシ</t>
    </rPh>
    <rPh sb="4" eb="6">
      <t>イチラン</t>
    </rPh>
    <rPh sb="6" eb="7">
      <t>ヒョウ</t>
    </rPh>
    <phoneticPr fontId="2"/>
  </si>
  <si>
    <t>不動産取得費用</t>
    <rPh sb="0" eb="3">
      <t>フドウサン</t>
    </rPh>
    <rPh sb="3" eb="5">
      <t>シュトク</t>
    </rPh>
    <rPh sb="5" eb="6">
      <t>ヒ</t>
    </rPh>
    <rPh sb="6" eb="7">
      <t>ヨウ</t>
    </rPh>
    <phoneticPr fontId="2"/>
  </si>
  <si>
    <t>敷金</t>
    <rPh sb="0" eb="2">
      <t>シキキン</t>
    </rPh>
    <phoneticPr fontId="2"/>
  </si>
  <si>
    <t>礼金</t>
    <rPh sb="0" eb="2">
      <t>レイキン</t>
    </rPh>
    <phoneticPr fontId="2"/>
  </si>
  <si>
    <t>仲介手数料</t>
    <rPh sb="0" eb="2">
      <t>チュウカイ</t>
    </rPh>
    <rPh sb="2" eb="4">
      <t>テスウ</t>
    </rPh>
    <rPh sb="4" eb="5">
      <t>リョウ</t>
    </rPh>
    <phoneticPr fontId="2"/>
  </si>
  <si>
    <t>前家賃</t>
    <rPh sb="0" eb="1">
      <t>マエ</t>
    </rPh>
    <rPh sb="1" eb="3">
      <t>ヤチン</t>
    </rPh>
    <phoneticPr fontId="2"/>
  </si>
  <si>
    <t>設備取得費用</t>
    <rPh sb="0" eb="2">
      <t>セツビ</t>
    </rPh>
    <rPh sb="2" eb="4">
      <t>シュトク</t>
    </rPh>
    <rPh sb="4" eb="5">
      <t>ヒ</t>
    </rPh>
    <rPh sb="5" eb="6">
      <t>ヨウ</t>
    </rPh>
    <phoneticPr fontId="2"/>
  </si>
  <si>
    <t>合計</t>
    <rPh sb="0" eb="2">
      <t>ゴウケイ</t>
    </rPh>
    <phoneticPr fontId="2"/>
  </si>
  <si>
    <t>電気設備</t>
    <rPh sb="0" eb="2">
      <t>デンキ</t>
    </rPh>
    <rPh sb="2" eb="4">
      <t>セツビ</t>
    </rPh>
    <phoneticPr fontId="2"/>
  </si>
  <si>
    <t>空調設備</t>
    <rPh sb="0" eb="2">
      <t>クウチョウ</t>
    </rPh>
    <rPh sb="2" eb="4">
      <t>セツビ</t>
    </rPh>
    <phoneticPr fontId="2"/>
  </si>
  <si>
    <t>パソコン</t>
    <phoneticPr fontId="2"/>
  </si>
  <si>
    <t>プリンター</t>
    <phoneticPr fontId="2"/>
  </si>
  <si>
    <t>定率</t>
    <rPh sb="0" eb="2">
      <t>テイリツ</t>
    </rPh>
    <phoneticPr fontId="2"/>
  </si>
  <si>
    <t>定額</t>
    <rPh sb="0" eb="2">
      <t>テイガク</t>
    </rPh>
    <phoneticPr fontId="2"/>
  </si>
  <si>
    <t>償却方法</t>
    <rPh sb="0" eb="2">
      <t>ショウキャク</t>
    </rPh>
    <rPh sb="2" eb="4">
      <t>ホウホウ</t>
    </rPh>
    <phoneticPr fontId="2"/>
  </si>
  <si>
    <t>定率法</t>
    <rPh sb="0" eb="3">
      <t>テイリツホウ</t>
    </rPh>
    <phoneticPr fontId="2"/>
  </si>
  <si>
    <t>定額法</t>
    <rPh sb="0" eb="2">
      <t>テイガク</t>
    </rPh>
    <rPh sb="2" eb="3">
      <t>ホウ</t>
    </rPh>
    <phoneticPr fontId="2"/>
  </si>
  <si>
    <t>事業年度</t>
    <rPh sb="0" eb="2">
      <t>ジギョウ</t>
    </rPh>
    <rPh sb="2" eb="4">
      <t>ネンド</t>
    </rPh>
    <phoneticPr fontId="2"/>
  </si>
  <si>
    <t>月</t>
    <rPh sb="0" eb="1">
      <t>ガツ</t>
    </rPh>
    <phoneticPr fontId="2"/>
  </si>
  <si>
    <t>～</t>
    <phoneticPr fontId="2"/>
  </si>
  <si>
    <t>初年度月数</t>
    <rPh sb="0" eb="3">
      <t>ショネンド</t>
    </rPh>
    <rPh sb="3" eb="5">
      <t>ツキスウ</t>
    </rPh>
    <phoneticPr fontId="2"/>
  </si>
  <si>
    <t>ヶ月</t>
    <rPh sb="1" eb="2">
      <t>ゲツ</t>
    </rPh>
    <phoneticPr fontId="2"/>
  </si>
  <si>
    <t>会社設立年月</t>
    <rPh sb="0" eb="2">
      <t>カイシャ</t>
    </rPh>
    <rPh sb="2" eb="4">
      <t>セツリツ</t>
    </rPh>
    <rPh sb="4" eb="6">
      <t>ネンゲツ</t>
    </rPh>
    <phoneticPr fontId="2"/>
  </si>
  <si>
    <t>開業前</t>
    <rPh sb="0" eb="2">
      <t>カイギョウ</t>
    </rPh>
    <rPh sb="2" eb="3">
      <t>マエ</t>
    </rPh>
    <phoneticPr fontId="2"/>
  </si>
  <si>
    <t>小　　　計</t>
    <rPh sb="0" eb="1">
      <t>コ</t>
    </rPh>
    <rPh sb="4" eb="5">
      <t>ケイ</t>
    </rPh>
    <phoneticPr fontId="2"/>
  </si>
  <si>
    <t>合　　　計</t>
    <rPh sb="0" eb="1">
      <t>ア</t>
    </rPh>
    <rPh sb="4" eb="5">
      <t>ケイ</t>
    </rPh>
    <phoneticPr fontId="2"/>
  </si>
  <si>
    <t>創業年月数</t>
    <rPh sb="0" eb="2">
      <t>ソウギョウ</t>
    </rPh>
    <rPh sb="2" eb="3">
      <t>ネン</t>
    </rPh>
    <rPh sb="3" eb="5">
      <t>ツキスウ</t>
    </rPh>
    <phoneticPr fontId="2"/>
  </si>
  <si>
    <t>会社名・屋号</t>
    <rPh sb="0" eb="3">
      <t>カイシャメイ</t>
    </rPh>
    <rPh sb="4" eb="6">
      <t>ヤゴウ</t>
    </rPh>
    <phoneticPr fontId="2"/>
  </si>
  <si>
    <t>弥生商事株式会社</t>
    <rPh sb="0" eb="2">
      <t>ヤヨイ</t>
    </rPh>
    <rPh sb="2" eb="4">
      <t>ショウジ</t>
    </rPh>
    <rPh sb="4" eb="8">
      <t>カブシキガイシャ</t>
    </rPh>
    <phoneticPr fontId="2"/>
  </si>
  <si>
    <t>基礎情報</t>
    <rPh sb="0" eb="2">
      <t>キソ</t>
    </rPh>
    <rPh sb="2" eb="4">
      <t>ジョウホウ</t>
    </rPh>
    <phoneticPr fontId="2"/>
  </si>
  <si>
    <t>入力が必要な箇所</t>
    <rPh sb="0" eb="2">
      <t>ニュウリョク</t>
    </rPh>
    <rPh sb="3" eb="5">
      <t>ヒツヨウ</t>
    </rPh>
    <rPh sb="6" eb="8">
      <t>カショ</t>
    </rPh>
    <phoneticPr fontId="2"/>
  </si>
  <si>
    <t>当月入金</t>
    <rPh sb="0" eb="2">
      <t>トウゲツ</t>
    </rPh>
    <rPh sb="2" eb="4">
      <t>ニュウキン</t>
    </rPh>
    <phoneticPr fontId="2"/>
  </si>
  <si>
    <t>1か月後入金</t>
    <rPh sb="2" eb="4">
      <t>ゲツゴ</t>
    </rPh>
    <rPh sb="4" eb="6">
      <t>ニュウキン</t>
    </rPh>
    <phoneticPr fontId="2"/>
  </si>
  <si>
    <t>2か月後入金</t>
    <rPh sb="2" eb="4">
      <t>ゲツゴ</t>
    </rPh>
    <rPh sb="4" eb="6">
      <t>ニュウキン</t>
    </rPh>
    <phoneticPr fontId="2"/>
  </si>
  <si>
    <t>3か月後入金</t>
    <rPh sb="2" eb="4">
      <t>ゲツゴ</t>
    </rPh>
    <rPh sb="4" eb="6">
      <t>ニュウキン</t>
    </rPh>
    <phoneticPr fontId="2"/>
  </si>
  <si>
    <t>4か月後入金</t>
    <rPh sb="2" eb="4">
      <t>ゲツゴ</t>
    </rPh>
    <rPh sb="4" eb="6">
      <t>ニュウキン</t>
    </rPh>
    <phoneticPr fontId="2"/>
  </si>
  <si>
    <t>5か月後入金</t>
    <rPh sb="2" eb="4">
      <t>ゲツゴ</t>
    </rPh>
    <rPh sb="4" eb="6">
      <t>ニュウキン</t>
    </rPh>
    <phoneticPr fontId="2"/>
  </si>
  <si>
    <t>6か月後入金</t>
    <rPh sb="2" eb="4">
      <t>ゲツゴ</t>
    </rPh>
    <rPh sb="4" eb="6">
      <t>ニュウキン</t>
    </rPh>
    <phoneticPr fontId="2"/>
  </si>
  <si>
    <t>7か月後入金</t>
    <rPh sb="2" eb="4">
      <t>ゲツゴ</t>
    </rPh>
    <rPh sb="4" eb="6">
      <t>ニュウキン</t>
    </rPh>
    <phoneticPr fontId="2"/>
  </si>
  <si>
    <t>8か月後入金</t>
    <rPh sb="2" eb="4">
      <t>ゲツゴ</t>
    </rPh>
    <rPh sb="4" eb="6">
      <t>ニュウキン</t>
    </rPh>
    <phoneticPr fontId="2"/>
  </si>
  <si>
    <t>9か月後入金</t>
    <rPh sb="2" eb="4">
      <t>ゲツゴ</t>
    </rPh>
    <rPh sb="4" eb="6">
      <t>ニュウキン</t>
    </rPh>
    <phoneticPr fontId="2"/>
  </si>
  <si>
    <t>創業当初</t>
    <rPh sb="0" eb="2">
      <t>ソウギョウ</t>
    </rPh>
    <rPh sb="2" eb="4">
      <t>トウショ</t>
    </rPh>
    <phoneticPr fontId="2"/>
  </si>
  <si>
    <t>起業後</t>
    <rPh sb="0" eb="2">
      <t>キギョウ</t>
    </rPh>
    <rPh sb="2" eb="3">
      <t>ゴ</t>
    </rPh>
    <phoneticPr fontId="2"/>
  </si>
  <si>
    <t>17か月の合計</t>
    <rPh sb="3" eb="4">
      <t>ゲツ</t>
    </rPh>
    <rPh sb="5" eb="7">
      <t>ゴウケイ</t>
    </rPh>
    <phoneticPr fontId="2"/>
  </si>
  <si>
    <t>17か月計</t>
    <rPh sb="3" eb="4">
      <t>ゲツ</t>
    </rPh>
    <rPh sb="4" eb="5">
      <t>ケイ</t>
    </rPh>
    <phoneticPr fontId="2"/>
  </si>
  <si>
    <t>支払サイクル</t>
    <rPh sb="0" eb="2">
      <t>シハラ</t>
    </rPh>
    <phoneticPr fontId="2"/>
  </si>
  <si>
    <t>入金サイクル</t>
    <rPh sb="0" eb="2">
      <t>ニュウキン</t>
    </rPh>
    <phoneticPr fontId="2"/>
  </si>
  <si>
    <t>当月支払</t>
    <rPh sb="0" eb="2">
      <t>トウゲツ</t>
    </rPh>
    <phoneticPr fontId="2"/>
  </si>
  <si>
    <t>1か月後支払</t>
    <rPh sb="2" eb="4">
      <t>ゲツゴ</t>
    </rPh>
    <phoneticPr fontId="2"/>
  </si>
  <si>
    <t>2か月後支払</t>
    <rPh sb="2" eb="4">
      <t>ゲツゴ</t>
    </rPh>
    <phoneticPr fontId="2"/>
  </si>
  <si>
    <t>3か月後支払</t>
    <rPh sb="2" eb="4">
      <t>ゲツゴ</t>
    </rPh>
    <phoneticPr fontId="2"/>
  </si>
  <si>
    <t>4か月後支払</t>
    <rPh sb="2" eb="4">
      <t>ゲツゴ</t>
    </rPh>
    <phoneticPr fontId="2"/>
  </si>
  <si>
    <t>5か月後支払</t>
    <rPh sb="2" eb="4">
      <t>ゲツゴ</t>
    </rPh>
    <phoneticPr fontId="2"/>
  </si>
  <si>
    <t>6か月後支払</t>
    <rPh sb="2" eb="4">
      <t>ゲツゴ</t>
    </rPh>
    <phoneticPr fontId="2"/>
  </si>
  <si>
    <t>7か月後支払</t>
    <rPh sb="2" eb="4">
      <t>ゲツゴ</t>
    </rPh>
    <phoneticPr fontId="2"/>
  </si>
  <si>
    <t>8か月後支払</t>
    <rPh sb="2" eb="4">
      <t>ゲツゴ</t>
    </rPh>
    <phoneticPr fontId="2"/>
  </si>
  <si>
    <t>9か月後支払</t>
    <rPh sb="2" eb="4">
      <t>ゲツゴ</t>
    </rPh>
    <phoneticPr fontId="2"/>
  </si>
  <si>
    <t>当月入金</t>
    <rPh sb="0" eb="2">
      <t>トウゲツ</t>
    </rPh>
    <rPh sb="2" eb="4">
      <t>ニュウキン</t>
    </rPh>
    <phoneticPr fontId="2"/>
  </si>
  <si>
    <t>翌月以降入金</t>
    <rPh sb="0" eb="2">
      <t>ヨクゲツ</t>
    </rPh>
    <rPh sb="2" eb="4">
      <t>イコウ</t>
    </rPh>
    <rPh sb="4" eb="6">
      <t>ニュウキン</t>
    </rPh>
    <phoneticPr fontId="2"/>
  </si>
  <si>
    <t>当月支払</t>
    <rPh sb="0" eb="2">
      <t>トウゲツ</t>
    </rPh>
    <rPh sb="2" eb="4">
      <t>シハライ</t>
    </rPh>
    <phoneticPr fontId="2"/>
  </si>
  <si>
    <t>翌月以降支払</t>
    <rPh sb="0" eb="2">
      <t>ヨクゲツ</t>
    </rPh>
    <rPh sb="2" eb="4">
      <t>イコウ</t>
    </rPh>
    <rPh sb="4" eb="6">
      <t>シハライ</t>
    </rPh>
    <phoneticPr fontId="2"/>
  </si>
  <si>
    <t>不動産関係</t>
    <rPh sb="0" eb="3">
      <t>フドウサン</t>
    </rPh>
    <rPh sb="3" eb="5">
      <t>カンケイ</t>
    </rPh>
    <phoneticPr fontId="2"/>
  </si>
  <si>
    <t>創立費/開業費</t>
    <rPh sb="0" eb="2">
      <t>ソウリツ</t>
    </rPh>
    <rPh sb="2" eb="3">
      <t>ヒ</t>
    </rPh>
    <rPh sb="4" eb="6">
      <t>カイギョウ</t>
    </rPh>
    <rPh sb="6" eb="7">
      <t>ヒ</t>
    </rPh>
    <phoneticPr fontId="2"/>
  </si>
  <si>
    <t>創立費/開業費</t>
    <rPh sb="0" eb="2">
      <t>ソウリツ</t>
    </rPh>
    <rPh sb="2" eb="3">
      <t>ヒ</t>
    </rPh>
    <rPh sb="4" eb="6">
      <t>カイギョウ</t>
    </rPh>
    <rPh sb="6" eb="7">
      <t>ヒ</t>
    </rPh>
    <phoneticPr fontId="2"/>
  </si>
  <si>
    <t>案内状他</t>
    <rPh sb="0" eb="3">
      <t>アンナイジョウ</t>
    </rPh>
    <rPh sb="3" eb="4">
      <t>ホカ</t>
    </rPh>
    <phoneticPr fontId="2"/>
  </si>
  <si>
    <t>1年目
月額償却額</t>
    <rPh sb="1" eb="2">
      <t>ネン</t>
    </rPh>
    <rPh sb="2" eb="3">
      <t>メ</t>
    </rPh>
    <rPh sb="4" eb="6">
      <t>ゲツガク</t>
    </rPh>
    <rPh sb="6" eb="8">
      <t>ショウキャク</t>
    </rPh>
    <rPh sb="8" eb="9">
      <t>ガク</t>
    </rPh>
    <phoneticPr fontId="2"/>
  </si>
  <si>
    <t>1年目
年度償却額</t>
    <rPh sb="1" eb="3">
      <t>ネンメ</t>
    </rPh>
    <rPh sb="4" eb="5">
      <t>ネン</t>
    </rPh>
    <rPh sb="5" eb="6">
      <t>ド</t>
    </rPh>
    <rPh sb="6" eb="9">
      <t>ショウキャクガク</t>
    </rPh>
    <phoneticPr fontId="2"/>
  </si>
  <si>
    <t>1年目
期末簿価</t>
    <rPh sb="1" eb="3">
      <t>ネンメ</t>
    </rPh>
    <rPh sb="4" eb="6">
      <t>キマツ</t>
    </rPh>
    <rPh sb="6" eb="8">
      <t>ボカ</t>
    </rPh>
    <phoneticPr fontId="2"/>
  </si>
  <si>
    <t>2年目
期末簿価</t>
    <rPh sb="1" eb="3">
      <t>ネンメ</t>
    </rPh>
    <rPh sb="4" eb="6">
      <t>キマツ</t>
    </rPh>
    <rPh sb="6" eb="8">
      <t>ボカ</t>
    </rPh>
    <phoneticPr fontId="2"/>
  </si>
  <si>
    <t>損益シミュレーション</t>
    <rPh sb="0" eb="2">
      <t>ソンエキ</t>
    </rPh>
    <phoneticPr fontId="2"/>
  </si>
  <si>
    <t>2年目
月額償却額</t>
    <rPh sb="1" eb="3">
      <t>ネンメ</t>
    </rPh>
    <rPh sb="4" eb="6">
      <t>ゲツガク</t>
    </rPh>
    <rPh sb="6" eb="9">
      <t>ショウキャクガク</t>
    </rPh>
    <phoneticPr fontId="2"/>
  </si>
  <si>
    <t>2年目
年度償却額</t>
    <rPh sb="1" eb="3">
      <t>ネンメ</t>
    </rPh>
    <rPh sb="4" eb="6">
      <t>ネンド</t>
    </rPh>
    <rPh sb="6" eb="9">
      <t>ショウキャクガク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</si>
</sst>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8" formatCode="&quot;¥&quot;#,##0.00;[Red]&quot;¥&quot;\-#,##0.00"/>
    <numFmt numFmtId="176" formatCode="#,###&quot;日&quot;"/>
    <numFmt numFmtId="177" formatCode="[$-411]gee\.mm\.dd;@"/>
    <numFmt numFmtId="178" formatCode="0_);[Red]\(0\)"/>
    <numFmt numFmtId="179" formatCode="h:mm;@"/>
    <numFmt numFmtId="180" formatCode="h&quot;時&quot;&quot;間&quot;mm&quot;分&quot;"/>
    <numFmt numFmtId="181" formatCode="###&quot;人&quot;"/>
    <numFmt numFmtId="182" formatCode="#,##0.0;[Red]\-#,##0.0"/>
    <numFmt numFmtId="183" formatCode="&quot;¥&quot;#,##0.0;[Red]&quot;¥&quot;\-#,##0.0"/>
    <numFmt numFmtId="184" formatCode="0.000_ "/>
  </numFmts>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i/>
      <sz val="10"/>
      <name val="ＭＳ ゴシック"/>
      <family val="3"/>
      <charset val="128"/>
    </font>
    <font>
      <sz val="10"/>
      <name val="ＭＳ ゴシック"/>
      <family val="3"/>
      <charset val="128"/>
    </font>
    <font>
      <sz val="10.5"/>
      <color theme="1"/>
      <name val="ＭＳ Ｐゴシック"/>
      <family val="3"/>
      <charset val="128"/>
      <scheme val="minor"/>
    </font>
    <font>
      <b/>
      <sz val="12"/>
      <color theme="1"/>
      <name val="ＭＳ Ｐゴシック"/>
      <family val="3"/>
      <charset val="128"/>
      <scheme val="minor"/>
    </font>
    <font>
      <b/>
      <sz val="12"/>
      <color theme="0"/>
      <name val="ＭＳ Ｐゴシック"/>
      <family val="3"/>
      <charset val="128"/>
      <scheme val="minor"/>
    </font>
    <font>
      <sz val="10.5"/>
      <color theme="0"/>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2"/>
      <color theme="0"/>
      <name val="ＭＳ Ｐゴシック"/>
      <family val="2"/>
      <charset val="128"/>
      <scheme val="minor"/>
    </font>
    <font>
      <sz val="12"/>
      <color theme="1"/>
      <name val="ＭＳ Ｐゴシック"/>
      <family val="3"/>
      <charset val="128"/>
      <scheme val="minor"/>
    </font>
    <font>
      <b/>
      <sz val="11"/>
      <name val="ＭＳ Ｐゴシック"/>
      <family val="3"/>
      <charset val="128"/>
      <scheme val="minor"/>
    </font>
    <font>
      <b/>
      <sz val="16"/>
      <color theme="0"/>
      <name val="ＭＳ Ｐゴシック"/>
      <family val="3"/>
      <charset val="128"/>
      <scheme val="minor"/>
    </font>
    <font>
      <sz val="11"/>
      <color theme="0"/>
      <name val="ＭＳ Ｐゴシック"/>
      <family val="3"/>
      <charset val="128"/>
      <scheme val="minor"/>
    </font>
    <font>
      <sz val="9"/>
      <color theme="0"/>
      <name val="ＭＳ Ｐゴシック"/>
      <family val="3"/>
      <charset val="128"/>
      <scheme val="minor"/>
    </font>
    <font>
      <sz val="10"/>
      <color theme="1"/>
      <name val="ＭＳ Ｐゴシック"/>
      <family val="3"/>
      <charset val="128"/>
      <scheme val="minor"/>
    </font>
    <font>
      <sz val="8"/>
      <name val="ＭＳ Ｐゴシック"/>
      <family val="2"/>
      <charset val="128"/>
      <scheme val="minor"/>
    </font>
    <font>
      <sz val="11"/>
      <color theme="1"/>
      <name val="ＭＳ Ｐゴシック"/>
      <family val="3"/>
      <charset val="128"/>
      <scheme val="minor"/>
    </font>
    <font>
      <sz val="8"/>
      <name val="ＭＳ Ｐゴシック"/>
      <family val="3"/>
      <charset val="128"/>
      <scheme val="minor"/>
    </font>
    <font>
      <sz val="10"/>
      <name val="ＭＳ Ｐゴシック"/>
      <family val="3"/>
      <charset val="128"/>
      <scheme val="minor"/>
    </font>
    <font>
      <i/>
      <sz val="10"/>
      <name val="ＭＳ Ｐゴシック"/>
      <family val="3"/>
      <charset val="128"/>
      <scheme val="minor"/>
    </font>
    <font>
      <i/>
      <sz val="10"/>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9"/>
      <color indexed="81"/>
      <name val="ＭＳ Ｐゴシック"/>
      <family val="3"/>
      <charset val="128"/>
    </font>
    <font>
      <b/>
      <sz val="9"/>
      <color indexed="81"/>
      <name val="ＭＳ Ｐゴシック"/>
      <family val="3"/>
      <charset val="128"/>
    </font>
    <font>
      <b/>
      <sz val="14"/>
      <color theme="1"/>
      <name val="ＭＳ Ｐゴシック"/>
      <family val="3"/>
      <charset val="128"/>
      <scheme val="minor"/>
    </font>
    <font>
      <sz val="11"/>
      <name val="ＭＳ ゴシック"/>
      <family val="3"/>
      <charset val="128"/>
    </font>
    <font>
      <sz val="11"/>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B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0070C0"/>
        <bgColor indexed="64"/>
      </patternFill>
    </fill>
  </fills>
  <borders count="3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style="thin">
        <color indexed="64"/>
      </left>
      <right/>
      <top style="thin">
        <color indexed="64"/>
      </top>
      <bottom/>
      <diagonal/>
    </border>
    <border>
      <left style="thin">
        <color indexed="64"/>
      </left>
      <right style="thin">
        <color indexed="64"/>
      </right>
      <top style="thin">
        <color theme="0"/>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4">
    <xf numFmtId="0" fontId="0" fillId="0" borderId="0" xfId="0">
      <alignment vertical="center"/>
    </xf>
    <xf numFmtId="0" fontId="0" fillId="0" borderId="3" xfId="0" applyBorder="1">
      <alignment vertical="center"/>
    </xf>
    <xf numFmtId="0" fontId="0" fillId="0" borderId="0" xfId="0" applyBorder="1">
      <alignment vertical="center"/>
    </xf>
    <xf numFmtId="38" fontId="0" fillId="0" borderId="0" xfId="1" applyFont="1" applyBorder="1">
      <alignment vertical="center"/>
    </xf>
    <xf numFmtId="0" fontId="0" fillId="0" borderId="0" xfId="0" applyAlignment="1">
      <alignment horizontal="center" vertical="center"/>
    </xf>
    <xf numFmtId="38" fontId="3" fillId="0" borderId="0" xfId="1" applyFont="1">
      <alignment vertical="center"/>
    </xf>
    <xf numFmtId="38" fontId="0" fillId="0" borderId="0" xfId="1" applyFont="1">
      <alignment vertical="center"/>
    </xf>
    <xf numFmtId="6" fontId="0" fillId="0" borderId="8" xfId="2" applyFont="1" applyBorder="1">
      <alignment vertical="center"/>
    </xf>
    <xf numFmtId="6" fontId="0" fillId="0" borderId="2" xfId="2" applyFont="1" applyBorder="1">
      <alignment vertical="center"/>
    </xf>
    <xf numFmtId="6" fontId="0" fillId="0" borderId="3" xfId="2" applyFont="1" applyBorder="1">
      <alignment vertical="center"/>
    </xf>
    <xf numFmtId="38" fontId="0" fillId="0" borderId="3" xfId="1" applyFont="1" applyBorder="1">
      <alignment vertical="center"/>
    </xf>
    <xf numFmtId="176" fontId="0" fillId="0" borderId="0" xfId="1" applyNumberFormat="1" applyFont="1" applyBorder="1">
      <alignment vertical="center"/>
    </xf>
    <xf numFmtId="0" fontId="7" fillId="0" borderId="0" xfId="0" applyFont="1">
      <alignment vertical="center"/>
    </xf>
    <xf numFmtId="0" fontId="7" fillId="0" borderId="6" xfId="0" applyFont="1" applyBorder="1">
      <alignment vertical="center"/>
    </xf>
    <xf numFmtId="38" fontId="0" fillId="0" borderId="1" xfId="1" applyFont="1" applyBorder="1" applyAlignment="1">
      <alignment horizontal="right" vertical="center"/>
    </xf>
    <xf numFmtId="38" fontId="0" fillId="0" borderId="0" xfId="1" applyFont="1" applyBorder="1" applyAlignment="1">
      <alignment horizontal="right" vertical="center"/>
    </xf>
    <xf numFmtId="180" fontId="0" fillId="0" borderId="3" xfId="1" applyNumberFormat="1" applyFont="1" applyBorder="1" applyAlignment="1">
      <alignment horizontal="center" vertical="center"/>
    </xf>
    <xf numFmtId="38" fontId="11" fillId="0" borderId="0" xfId="1" applyFont="1" applyBorder="1">
      <alignment vertical="center"/>
    </xf>
    <xf numFmtId="38" fontId="12" fillId="0" borderId="0" xfId="1" applyFont="1" applyBorder="1">
      <alignment vertical="center"/>
    </xf>
    <xf numFmtId="38" fontId="14" fillId="0" borderId="0" xfId="1" applyFont="1">
      <alignment vertical="center"/>
    </xf>
    <xf numFmtId="0" fontId="0" fillId="0" borderId="0" xfId="0" applyBorder="1" applyAlignment="1">
      <alignment horizontal="center" vertical="center"/>
    </xf>
    <xf numFmtId="178" fontId="0" fillId="0" borderId="3" xfId="0" applyNumberFormat="1" applyBorder="1" applyAlignment="1">
      <alignment vertical="center"/>
    </xf>
    <xf numFmtId="0" fontId="0" fillId="0" borderId="0" xfId="0" applyBorder="1" applyAlignment="1">
      <alignment horizontal="left" vertical="center"/>
    </xf>
    <xf numFmtId="178" fontId="0" fillId="0" borderId="0" xfId="0" applyNumberFormat="1" applyBorder="1" applyAlignment="1">
      <alignment vertical="center"/>
    </xf>
    <xf numFmtId="38" fontId="0" fillId="0" borderId="0" xfId="1" applyFont="1" applyBorder="1" applyAlignment="1">
      <alignment vertical="center"/>
    </xf>
    <xf numFmtId="38" fontId="3" fillId="0" borderId="0" xfId="1" applyFont="1" applyFill="1">
      <alignment vertical="center"/>
    </xf>
    <xf numFmtId="38" fontId="0" fillId="0" borderId="0" xfId="1" applyFont="1" applyFill="1">
      <alignment vertical="center"/>
    </xf>
    <xf numFmtId="38" fontId="0" fillId="0" borderId="0" xfId="1" applyFont="1" applyFill="1" applyAlignment="1">
      <alignment vertical="center"/>
    </xf>
    <xf numFmtId="38" fontId="4" fillId="0" borderId="0" xfId="1" quotePrefix="1" applyFont="1" applyFill="1">
      <alignment vertical="center"/>
    </xf>
    <xf numFmtId="38" fontId="0" fillId="0" borderId="0" xfId="1" applyFont="1" applyFill="1" applyAlignment="1">
      <alignment horizontal="right" vertical="center"/>
    </xf>
    <xf numFmtId="38" fontId="4" fillId="0" borderId="0" xfId="1" applyFont="1" applyFill="1">
      <alignment vertical="center"/>
    </xf>
    <xf numFmtId="38" fontId="4" fillId="0" borderId="3" xfId="1" applyFont="1" applyFill="1" applyBorder="1">
      <alignment vertical="center"/>
    </xf>
    <xf numFmtId="0" fontId="6" fillId="0" borderId="9" xfId="0" applyFont="1" applyFill="1" applyBorder="1">
      <alignment vertical="center"/>
    </xf>
    <xf numFmtId="0" fontId="6" fillId="0" borderId="4" xfId="0" applyFont="1" applyFill="1" applyBorder="1">
      <alignment vertical="center"/>
    </xf>
    <xf numFmtId="0" fontId="6" fillId="0" borderId="10" xfId="0" applyFont="1" applyFill="1" applyBorder="1">
      <alignment vertical="center"/>
    </xf>
    <xf numFmtId="0" fontId="6" fillId="0" borderId="12" xfId="0" applyFont="1" applyFill="1" applyBorder="1">
      <alignment vertical="center"/>
    </xf>
    <xf numFmtId="0" fontId="6" fillId="0" borderId="1" xfId="0" applyFont="1" applyFill="1" applyBorder="1">
      <alignment vertical="center"/>
    </xf>
    <xf numFmtId="0" fontId="4" fillId="0" borderId="0" xfId="0" applyFont="1" applyFill="1">
      <alignment vertical="center"/>
    </xf>
    <xf numFmtId="0" fontId="0" fillId="0" borderId="0" xfId="0" applyFill="1">
      <alignment vertical="center"/>
    </xf>
    <xf numFmtId="38" fontId="15" fillId="0" borderId="0" xfId="1" applyFont="1">
      <alignment vertical="center"/>
    </xf>
    <xf numFmtId="0" fontId="0" fillId="0" borderId="0" xfId="0" applyBorder="1" applyAlignment="1">
      <alignment horizontal="center" vertical="center"/>
    </xf>
    <xf numFmtId="38" fontId="0" fillId="0" borderId="3" xfId="1" applyFont="1" applyFill="1" applyBorder="1" applyAlignment="1">
      <alignment horizontal="center" vertical="center"/>
    </xf>
    <xf numFmtId="178" fontId="0" fillId="0" borderId="1" xfId="2" applyNumberFormat="1" applyFont="1" applyBorder="1">
      <alignment vertical="center"/>
    </xf>
    <xf numFmtId="38" fontId="0" fillId="0" borderId="1" xfId="1" applyFont="1" applyBorder="1">
      <alignment vertical="center"/>
    </xf>
    <xf numFmtId="181" fontId="0" fillId="0" borderId="3" xfId="2" applyNumberFormat="1" applyFont="1" applyBorder="1">
      <alignment vertical="center"/>
    </xf>
    <xf numFmtId="181" fontId="0" fillId="0" borderId="2" xfId="2" applyNumberFormat="1" applyFont="1" applyBorder="1">
      <alignment vertical="center"/>
    </xf>
    <xf numFmtId="181" fontId="0" fillId="0" borderId="3" xfId="2" applyNumberFormat="1" applyFont="1" applyBorder="1" applyAlignment="1">
      <alignment horizontal="right" vertical="center"/>
    </xf>
    <xf numFmtId="182" fontId="0" fillId="0" borderId="3" xfId="1" applyNumberFormat="1" applyFont="1" applyBorder="1">
      <alignment vertical="center"/>
    </xf>
    <xf numFmtId="6" fontId="0" fillId="0" borderId="3" xfId="0" applyNumberFormat="1" applyBorder="1" applyAlignment="1">
      <alignment vertical="center"/>
    </xf>
    <xf numFmtId="6" fontId="0" fillId="0" borderId="1" xfId="0" applyNumberFormat="1" applyBorder="1" applyAlignment="1">
      <alignment vertical="center"/>
    </xf>
    <xf numFmtId="8" fontId="0" fillId="0" borderId="3" xfId="2" applyNumberFormat="1" applyFont="1" applyBorder="1">
      <alignment vertical="center"/>
    </xf>
    <xf numFmtId="6" fontId="0" fillId="0" borderId="3" xfId="2" applyNumberFormat="1" applyFont="1" applyBorder="1">
      <alignment vertical="center"/>
    </xf>
    <xf numFmtId="38" fontId="16" fillId="0" borderId="0" xfId="1" applyFont="1" applyFill="1">
      <alignment vertical="center"/>
    </xf>
    <xf numFmtId="38" fontId="17" fillId="0" borderId="0" xfId="1" applyFont="1" applyFill="1">
      <alignment vertical="center"/>
    </xf>
    <xf numFmtId="14" fontId="18" fillId="0" borderId="0" xfId="1" applyNumberFormat="1" applyFont="1" applyFill="1" applyAlignment="1">
      <alignment vertical="center"/>
    </xf>
    <xf numFmtId="183" fontId="0" fillId="0" borderId="3" xfId="1" applyNumberFormat="1" applyFont="1" applyBorder="1">
      <alignment vertical="center"/>
    </xf>
    <xf numFmtId="14" fontId="20" fillId="0" borderId="0" xfId="1" applyNumberFormat="1" applyFont="1" applyFill="1">
      <alignment vertical="center"/>
    </xf>
    <xf numFmtId="38" fontId="4" fillId="5" borderId="3" xfId="1" applyFont="1" applyFill="1" applyBorder="1">
      <alignment vertical="center"/>
    </xf>
    <xf numFmtId="38" fontId="21" fillId="0" borderId="0" xfId="1" applyFont="1" applyFill="1">
      <alignment vertical="center"/>
    </xf>
    <xf numFmtId="9" fontId="21" fillId="0" borderId="0" xfId="3" applyFont="1" applyFill="1">
      <alignment vertical="center"/>
    </xf>
    <xf numFmtId="38" fontId="21" fillId="0" borderId="0" xfId="1" applyFont="1" applyFill="1" applyAlignment="1">
      <alignment vertical="center"/>
    </xf>
    <xf numFmtId="38" fontId="19" fillId="0" borderId="0" xfId="1" quotePrefix="1" applyFont="1" applyFill="1">
      <alignment vertical="center"/>
    </xf>
    <xf numFmtId="14" fontId="22" fillId="0" borderId="0" xfId="1" applyNumberFormat="1" applyFont="1" applyFill="1">
      <alignment vertical="center"/>
    </xf>
    <xf numFmtId="38" fontId="21" fillId="0" borderId="0" xfId="1" applyFont="1" applyFill="1" applyAlignment="1">
      <alignment horizontal="right" vertical="center"/>
    </xf>
    <xf numFmtId="38" fontId="19" fillId="0" borderId="0" xfId="1" applyFont="1" applyFill="1">
      <alignment vertical="center"/>
    </xf>
    <xf numFmtId="178" fontId="19" fillId="0" borderId="7" xfId="1" applyNumberFormat="1" applyFont="1" applyFill="1" applyBorder="1" applyAlignment="1">
      <alignment horizontal="center" vertical="center"/>
    </xf>
    <xf numFmtId="38" fontId="19" fillId="4" borderId="6" xfId="1" applyFont="1" applyFill="1" applyBorder="1">
      <alignment vertical="center"/>
    </xf>
    <xf numFmtId="0" fontId="23" fillId="0" borderId="30" xfId="0" applyFont="1" applyFill="1" applyBorder="1" applyAlignment="1">
      <alignment horizontal="left" vertical="center"/>
    </xf>
    <xf numFmtId="0" fontId="23" fillId="0" borderId="31" xfId="0" applyFont="1" applyFill="1" applyBorder="1" applyAlignment="1">
      <alignment horizontal="left" vertical="center"/>
    </xf>
    <xf numFmtId="0" fontId="23" fillId="0" borderId="1" xfId="0" applyFont="1" applyFill="1" applyBorder="1" applyAlignment="1">
      <alignment horizontal="left" vertical="center"/>
    </xf>
    <xf numFmtId="9" fontId="23" fillId="0" borderId="8" xfId="3" applyFont="1" applyFill="1" applyBorder="1" applyAlignment="1">
      <alignment horizontal="left" vertical="center"/>
    </xf>
    <xf numFmtId="38" fontId="19" fillId="0" borderId="6" xfId="1" applyFont="1" applyFill="1" applyBorder="1">
      <alignment vertical="center"/>
    </xf>
    <xf numFmtId="38" fontId="19" fillId="0" borderId="3" xfId="1" applyFont="1" applyFill="1" applyBorder="1">
      <alignment vertical="center"/>
    </xf>
    <xf numFmtId="0" fontId="23" fillId="0" borderId="14" xfId="0" applyFont="1" applyFill="1" applyBorder="1" applyAlignment="1">
      <alignment horizontal="left" vertical="center"/>
    </xf>
    <xf numFmtId="0" fontId="23" fillId="0" borderId="8" xfId="0" applyFont="1" applyFill="1" applyBorder="1" applyAlignment="1">
      <alignment horizontal="left" vertical="center"/>
    </xf>
    <xf numFmtId="0" fontId="23" fillId="0" borderId="4" xfId="0" applyFont="1" applyFill="1" applyBorder="1" applyAlignment="1">
      <alignment horizontal="left" vertical="center"/>
    </xf>
    <xf numFmtId="0" fontId="23" fillId="0" borderId="5" xfId="0" applyFont="1" applyFill="1" applyBorder="1" applyAlignment="1">
      <alignment horizontal="left" vertical="center"/>
    </xf>
    <xf numFmtId="0" fontId="23" fillId="0" borderId="7" xfId="0" applyFont="1" applyFill="1" applyBorder="1" applyAlignment="1">
      <alignment horizontal="left" vertical="center"/>
    </xf>
    <xf numFmtId="0" fontId="23" fillId="0" borderId="9" xfId="0" applyFont="1" applyFill="1" applyBorder="1">
      <alignment vertical="center"/>
    </xf>
    <xf numFmtId="0" fontId="23" fillId="0" borderId="30" xfId="0" applyFont="1" applyFill="1" applyBorder="1">
      <alignment vertical="center"/>
    </xf>
    <xf numFmtId="0" fontId="23" fillId="0" borderId="7" xfId="0" applyFont="1" applyFill="1" applyBorder="1" applyAlignment="1">
      <alignment vertical="center" shrinkToFit="1"/>
    </xf>
    <xf numFmtId="0" fontId="23" fillId="0" borderId="4" xfId="0" applyFont="1" applyFill="1" applyBorder="1">
      <alignment vertical="center"/>
    </xf>
    <xf numFmtId="0" fontId="23" fillId="0" borderId="10" xfId="0" applyFont="1" applyFill="1" applyBorder="1" applyAlignment="1">
      <alignment horizontal="left" vertical="center"/>
    </xf>
    <xf numFmtId="0" fontId="23" fillId="0" borderId="6" xfId="0" applyFont="1" applyFill="1" applyBorder="1" applyAlignment="1">
      <alignment vertical="center" shrinkToFit="1"/>
    </xf>
    <xf numFmtId="0" fontId="23" fillId="0" borderId="10" xfId="0" applyFont="1" applyFill="1" applyBorder="1">
      <alignment vertical="center"/>
    </xf>
    <xf numFmtId="0" fontId="23" fillId="0" borderId="12" xfId="0" applyFont="1" applyFill="1" applyBorder="1">
      <alignment vertical="center"/>
    </xf>
    <xf numFmtId="0" fontId="23" fillId="0" borderId="3" xfId="0" applyFont="1" applyFill="1" applyBorder="1" applyAlignment="1">
      <alignment vertical="center" shrinkToFit="1"/>
    </xf>
    <xf numFmtId="0" fontId="23" fillId="0" borderId="1" xfId="0" applyFont="1" applyFill="1" applyBorder="1">
      <alignment vertical="center"/>
    </xf>
    <xf numFmtId="0" fontId="23" fillId="0" borderId="14" xfId="0" applyFont="1" applyFill="1" applyBorder="1">
      <alignment vertical="center"/>
    </xf>
    <xf numFmtId="38" fontId="19" fillId="0" borderId="7" xfId="1" applyFont="1" applyFill="1" applyBorder="1">
      <alignment vertical="center"/>
    </xf>
    <xf numFmtId="38" fontId="25" fillId="0" borderId="0" xfId="1" applyFont="1" applyFill="1">
      <alignment vertical="center"/>
    </xf>
    <xf numFmtId="0" fontId="24" fillId="0" borderId="0" xfId="0" applyFont="1" applyFill="1" applyBorder="1" applyAlignment="1">
      <alignment horizontal="center" vertical="center"/>
    </xf>
    <xf numFmtId="38" fontId="25" fillId="0" borderId="0" xfId="1" applyFont="1" applyFill="1" applyBorder="1">
      <alignment vertical="center"/>
    </xf>
    <xf numFmtId="0" fontId="21" fillId="0" borderId="0" xfId="0" applyFont="1" applyFill="1">
      <alignment vertical="center"/>
    </xf>
    <xf numFmtId="38" fontId="23" fillId="0" borderId="4" xfId="1" applyFont="1" applyFill="1" applyBorder="1" applyAlignment="1">
      <alignment vertical="center"/>
    </xf>
    <xf numFmtId="38" fontId="23" fillId="0" borderId="5" xfId="1" applyFont="1" applyFill="1" applyBorder="1" applyAlignment="1">
      <alignment vertical="center"/>
    </xf>
    <xf numFmtId="38" fontId="23" fillId="4" borderId="3" xfId="1" applyFont="1" applyFill="1" applyBorder="1" applyAlignment="1">
      <alignment horizontal="center" vertical="center"/>
    </xf>
    <xf numFmtId="38" fontId="19" fillId="4" borderId="3" xfId="1" applyFont="1" applyFill="1" applyBorder="1" applyAlignment="1">
      <alignment vertical="center"/>
    </xf>
    <xf numFmtId="38" fontId="19" fillId="4" borderId="3" xfId="1" applyFont="1" applyFill="1" applyBorder="1">
      <alignment vertical="center"/>
    </xf>
    <xf numFmtId="38" fontId="23" fillId="0" borderId="4" xfId="1" applyFont="1" applyFill="1" applyBorder="1" applyAlignment="1">
      <alignment horizontal="center" vertical="center"/>
    </xf>
    <xf numFmtId="38" fontId="23" fillId="0" borderId="3" xfId="1" applyFont="1" applyFill="1" applyBorder="1" applyAlignment="1">
      <alignment vertical="center"/>
    </xf>
    <xf numFmtId="38" fontId="23" fillId="0" borderId="3" xfId="1" applyFont="1" applyFill="1" applyBorder="1" applyAlignment="1">
      <alignment horizontal="center" vertical="center"/>
    </xf>
    <xf numFmtId="38" fontId="19" fillId="0" borderId="3" xfId="1" applyFont="1" applyFill="1" applyBorder="1" applyAlignment="1">
      <alignment vertical="center"/>
    </xf>
    <xf numFmtId="38" fontId="23" fillId="0" borderId="1" xfId="1" applyFont="1" applyFill="1" applyBorder="1" applyAlignment="1">
      <alignment horizontal="center" vertical="center"/>
    </xf>
    <xf numFmtId="9" fontId="21" fillId="0" borderId="0" xfId="3" applyFont="1" applyFill="1" applyAlignment="1">
      <alignment horizontal="center" vertical="center"/>
    </xf>
    <xf numFmtId="9" fontId="17" fillId="0" borderId="0" xfId="3" applyFont="1" applyFill="1" applyAlignment="1">
      <alignment horizontal="center" vertical="center"/>
    </xf>
    <xf numFmtId="9" fontId="19" fillId="0" borderId="3" xfId="3" applyFont="1" applyFill="1" applyBorder="1" applyAlignment="1">
      <alignment horizontal="center" vertical="center"/>
    </xf>
    <xf numFmtId="9" fontId="19" fillId="0" borderId="11" xfId="3" applyFont="1" applyFill="1" applyBorder="1" applyAlignment="1">
      <alignment horizontal="center" vertical="center"/>
    </xf>
    <xf numFmtId="0" fontId="23" fillId="0" borderId="6" xfId="0" applyFont="1" applyFill="1" applyBorder="1" applyAlignment="1">
      <alignment horizontal="center" vertical="center"/>
    </xf>
    <xf numFmtId="9" fontId="23" fillId="0" borderId="8" xfId="3" applyFont="1" applyFill="1" applyBorder="1" applyAlignment="1">
      <alignment horizontal="center" vertical="center"/>
    </xf>
    <xf numFmtId="0" fontId="23" fillId="0" borderId="6" xfId="0" applyFont="1" applyFill="1" applyBorder="1" applyAlignment="1">
      <alignment horizontal="center" vertical="center" shrinkToFit="1"/>
    </xf>
    <xf numFmtId="38" fontId="21" fillId="0" borderId="0" xfId="1" applyFont="1" applyFill="1" applyAlignment="1">
      <alignment horizontal="center" vertical="center"/>
    </xf>
    <xf numFmtId="184" fontId="0" fillId="0" borderId="3" xfId="0" applyNumberFormat="1" applyBorder="1">
      <alignment vertical="center"/>
    </xf>
    <xf numFmtId="38" fontId="0" fillId="0" borderId="3" xfId="1" applyFont="1" applyBorder="1" applyAlignment="1">
      <alignment horizontal="right" vertical="center"/>
    </xf>
    <xf numFmtId="0" fontId="0" fillId="0" borderId="1"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38" fontId="0" fillId="0" borderId="7" xfId="1" applyFont="1" applyBorder="1" applyAlignment="1">
      <alignment horizontal="left" vertical="center"/>
    </xf>
    <xf numFmtId="38" fontId="0" fillId="0" borderId="6" xfId="1" applyFont="1" applyBorder="1" applyAlignment="1">
      <alignment horizontal="left" vertical="center"/>
    </xf>
    <xf numFmtId="0" fontId="0" fillId="0" borderId="3" xfId="0" applyBorder="1" applyAlignment="1">
      <alignment horizontal="center" vertical="center"/>
    </xf>
    <xf numFmtId="38" fontId="0" fillId="0" borderId="3" xfId="1" applyFont="1" applyBorder="1" applyAlignment="1">
      <alignment vertical="center"/>
    </xf>
    <xf numFmtId="0" fontId="0" fillId="0" borderId="0" xfId="0" applyAlignment="1">
      <alignment vertical="center" wrapText="1"/>
    </xf>
    <xf numFmtId="0" fontId="0" fillId="0" borderId="0" xfId="0" applyAlignment="1">
      <alignment horizontal="right" vertical="center" wrapText="1"/>
    </xf>
    <xf numFmtId="0" fontId="0" fillId="6" borderId="0" xfId="0" applyFill="1" applyAlignment="1">
      <alignment horizontal="right" vertical="center" wrapText="1"/>
    </xf>
    <xf numFmtId="0" fontId="0" fillId="0" borderId="30" xfId="0" applyFill="1" applyBorder="1" applyAlignment="1">
      <alignment horizontal="center" vertical="center"/>
    </xf>
    <xf numFmtId="14" fontId="0" fillId="0" borderId="0" xfId="0" applyNumberFormat="1">
      <alignment vertical="center"/>
    </xf>
    <xf numFmtId="0" fontId="0" fillId="0" borderId="7" xfId="0" applyBorder="1">
      <alignment vertical="center"/>
    </xf>
    <xf numFmtId="0" fontId="0" fillId="7" borderId="3" xfId="0" applyFill="1" applyBorder="1">
      <alignment vertical="center"/>
    </xf>
    <xf numFmtId="0" fontId="0" fillId="7" borderId="7" xfId="0" applyFill="1" applyBorder="1">
      <alignment vertical="center"/>
    </xf>
    <xf numFmtId="0" fontId="0" fillId="7" borderId="13" xfId="0" applyFill="1" applyBorder="1">
      <alignment vertical="center"/>
    </xf>
    <xf numFmtId="0" fontId="0" fillId="7" borderId="6" xfId="0" applyFill="1" applyBorder="1">
      <alignment vertical="center"/>
    </xf>
    <xf numFmtId="0" fontId="0" fillId="0" borderId="13" xfId="0" applyBorder="1" applyAlignment="1">
      <alignment horizontal="center" vertical="center"/>
    </xf>
    <xf numFmtId="0" fontId="0" fillId="0" borderId="13" xfId="0" applyBorder="1">
      <alignment vertical="center"/>
    </xf>
    <xf numFmtId="38" fontId="0" fillId="0" borderId="3" xfId="0" applyNumberFormat="1" applyBorder="1">
      <alignment vertical="center"/>
    </xf>
    <xf numFmtId="38" fontId="4" fillId="5" borderId="3" xfId="1" applyFont="1" applyFill="1" applyBorder="1" applyAlignment="1">
      <alignment horizontal="center" vertical="center"/>
    </xf>
    <xf numFmtId="38" fontId="4" fillId="5" borderId="11" xfId="1" applyFont="1" applyFill="1" applyBorder="1" applyAlignment="1">
      <alignment horizontal="center" vertical="center"/>
    </xf>
    <xf numFmtId="0" fontId="4" fillId="5" borderId="3" xfId="1" applyNumberFormat="1" applyFont="1" applyFill="1" applyBorder="1" applyAlignment="1">
      <alignment horizontal="center" vertical="center"/>
    </xf>
    <xf numFmtId="0" fontId="4" fillId="5" borderId="5" xfId="0" applyFont="1" applyFill="1" applyBorder="1" applyAlignment="1">
      <alignment horizontal="center" vertical="center"/>
    </xf>
    <xf numFmtId="0" fontId="4" fillId="5" borderId="3" xfId="0" applyFont="1" applyFill="1" applyBorder="1" applyAlignment="1">
      <alignment horizontal="center" vertical="center"/>
    </xf>
    <xf numFmtId="178" fontId="4" fillId="5" borderId="3" xfId="1" applyNumberFormat="1" applyFont="1" applyFill="1" applyBorder="1" applyAlignment="1">
      <alignment horizontal="center" vertical="center"/>
    </xf>
    <xf numFmtId="38" fontId="3" fillId="0" borderId="0" xfId="1" applyFont="1" applyFill="1" applyAlignment="1">
      <alignment vertical="center"/>
    </xf>
    <xf numFmtId="9" fontId="19" fillId="5" borderId="3" xfId="3" applyFont="1" applyFill="1" applyBorder="1" applyAlignment="1">
      <alignment horizontal="center" vertical="center"/>
    </xf>
    <xf numFmtId="178" fontId="19" fillId="5" borderId="3" xfId="1" applyNumberFormat="1" applyFont="1" applyFill="1" applyBorder="1" applyAlignment="1">
      <alignment horizontal="center" vertical="center"/>
    </xf>
    <xf numFmtId="0" fontId="19" fillId="5" borderId="3" xfId="1" applyNumberFormat="1" applyFont="1" applyFill="1" applyBorder="1" applyAlignment="1">
      <alignment horizontal="center" vertical="center"/>
    </xf>
    <xf numFmtId="0" fontId="23" fillId="8" borderId="7" xfId="0" applyFont="1" applyFill="1" applyBorder="1" applyAlignment="1">
      <alignment vertical="center" shrinkToFit="1"/>
    </xf>
    <xf numFmtId="38" fontId="23" fillId="8" borderId="3" xfId="1" applyFont="1" applyFill="1" applyBorder="1" applyAlignment="1">
      <alignment vertical="center"/>
    </xf>
    <xf numFmtId="38" fontId="0" fillId="5" borderId="3" xfId="1" applyFont="1" applyFill="1" applyBorder="1" applyAlignment="1">
      <alignment horizontal="center" vertical="center"/>
    </xf>
    <xf numFmtId="38" fontId="13" fillId="9" borderId="0" xfId="1" applyFont="1" applyFill="1" applyBorder="1" applyAlignment="1">
      <alignment horizontal="center" vertical="center"/>
    </xf>
    <xf numFmtId="38" fontId="0" fillId="8" borderId="3" xfId="1" applyFont="1" applyFill="1" applyBorder="1" applyAlignment="1">
      <alignment horizontal="center" vertical="center"/>
    </xf>
    <xf numFmtId="38" fontId="0" fillId="5" borderId="6" xfId="1" applyFont="1" applyFill="1" applyBorder="1" applyAlignment="1">
      <alignment horizontal="center" vertical="center"/>
    </xf>
    <xf numFmtId="38" fontId="0" fillId="5" borderId="3" xfId="1" applyFont="1" applyFill="1" applyBorder="1" applyAlignment="1">
      <alignment vertical="center"/>
    </xf>
    <xf numFmtId="0" fontId="0" fillId="8" borderId="3" xfId="0" applyFill="1" applyBorder="1" applyAlignment="1">
      <alignment horizontal="center" vertical="center"/>
    </xf>
    <xf numFmtId="0" fontId="0" fillId="5" borderId="5" xfId="0" applyFill="1" applyBorder="1">
      <alignment vertical="center"/>
    </xf>
    <xf numFmtId="0" fontId="0" fillId="5" borderId="3" xfId="0" applyFill="1" applyBorder="1" applyAlignment="1">
      <alignment horizontal="center" vertical="center"/>
    </xf>
    <xf numFmtId="0" fontId="0" fillId="5" borderId="4" xfId="0" applyFill="1" applyBorder="1">
      <alignment vertical="center"/>
    </xf>
    <xf numFmtId="0" fontId="0" fillId="5" borderId="1" xfId="0" applyFill="1" applyBorder="1">
      <alignment vertical="center"/>
    </xf>
    <xf numFmtId="0" fontId="0" fillId="5" borderId="5" xfId="0" applyFill="1" applyBorder="1" applyAlignment="1">
      <alignment vertical="center"/>
    </xf>
    <xf numFmtId="0" fontId="0" fillId="5" borderId="3" xfId="0" applyFill="1" applyBorder="1" applyAlignment="1">
      <alignment vertical="center"/>
    </xf>
    <xf numFmtId="0" fontId="0" fillId="8" borderId="3" xfId="0" applyFill="1" applyBorder="1">
      <alignment vertical="center"/>
    </xf>
    <xf numFmtId="38" fontId="0" fillId="5" borderId="1" xfId="1" applyFont="1" applyFill="1" applyBorder="1" applyAlignment="1">
      <alignment horizontal="center" vertical="center"/>
    </xf>
    <xf numFmtId="38" fontId="0" fillId="5" borderId="3" xfId="1" applyFont="1" applyFill="1" applyBorder="1" applyAlignment="1">
      <alignment horizontal="right" vertical="center"/>
    </xf>
    <xf numFmtId="0" fontId="0" fillId="8" borderId="7" xfId="0" applyFill="1" applyBorder="1">
      <alignment vertical="center"/>
    </xf>
    <xf numFmtId="0" fontId="0" fillId="8" borderId="13" xfId="0" applyFill="1" applyBorder="1">
      <alignment vertical="center"/>
    </xf>
    <xf numFmtId="6" fontId="0" fillId="8" borderId="3" xfId="2" applyFont="1" applyFill="1" applyBorder="1">
      <alignment vertical="center"/>
    </xf>
    <xf numFmtId="38" fontId="0" fillId="8" borderId="3" xfId="1" applyFont="1" applyFill="1" applyBorder="1">
      <alignment vertical="center"/>
    </xf>
    <xf numFmtId="6" fontId="0" fillId="8" borderId="2" xfId="2" applyFont="1" applyFill="1" applyBorder="1">
      <alignment vertical="center"/>
    </xf>
    <xf numFmtId="38" fontId="0" fillId="8" borderId="2" xfId="1" applyFont="1" applyFill="1" applyBorder="1">
      <alignment vertical="center"/>
    </xf>
    <xf numFmtId="9" fontId="0" fillId="8" borderId="32" xfId="2" applyNumberFormat="1" applyFont="1" applyFill="1" applyBorder="1">
      <alignment vertical="center"/>
    </xf>
    <xf numFmtId="0" fontId="0" fillId="8" borderId="2" xfId="0" applyFill="1" applyBorder="1">
      <alignment vertical="center"/>
    </xf>
    <xf numFmtId="178" fontId="0" fillId="8" borderId="3" xfId="1" applyNumberFormat="1" applyFont="1" applyFill="1" applyBorder="1" applyAlignment="1">
      <alignment horizontal="center" vertical="center"/>
    </xf>
    <xf numFmtId="179" fontId="0" fillId="8" borderId="27" xfId="1" applyNumberFormat="1" applyFont="1" applyFill="1" applyBorder="1" applyAlignment="1">
      <alignment horizontal="center" vertical="center"/>
    </xf>
    <xf numFmtId="179" fontId="0" fillId="8" borderId="13" xfId="1" applyNumberFormat="1" applyFont="1" applyFill="1" applyBorder="1" applyAlignment="1">
      <alignment horizontal="center" vertical="center"/>
    </xf>
    <xf numFmtId="181" fontId="0" fillId="8" borderId="3" xfId="2" applyNumberFormat="1" applyFont="1" applyFill="1" applyBorder="1">
      <alignment vertical="center"/>
    </xf>
    <xf numFmtId="181" fontId="0" fillId="8" borderId="2" xfId="2" applyNumberFormat="1" applyFont="1" applyFill="1" applyBorder="1">
      <alignment vertical="center"/>
    </xf>
    <xf numFmtId="6" fontId="0" fillId="8" borderId="3" xfId="2" applyFont="1" applyFill="1" applyBorder="1" applyAlignment="1">
      <alignment vertical="center"/>
    </xf>
    <xf numFmtId="178" fontId="0" fillId="8" borderId="3" xfId="0" applyNumberFormat="1" applyFill="1" applyBorder="1" applyAlignment="1">
      <alignment vertical="center"/>
    </xf>
    <xf numFmtId="0" fontId="0" fillId="5" borderId="3" xfId="0" applyFill="1" applyBorder="1" applyAlignment="1">
      <alignment horizontal="center" vertical="center" wrapText="1"/>
    </xf>
    <xf numFmtId="38" fontId="0" fillId="5" borderId="3" xfId="1" applyFont="1" applyFill="1" applyBorder="1" applyAlignment="1">
      <alignment horizontal="center" vertical="center" wrapText="1"/>
    </xf>
    <xf numFmtId="38" fontId="1" fillId="5" borderId="6" xfId="1" applyFont="1" applyFill="1" applyBorder="1">
      <alignment vertical="center"/>
    </xf>
    <xf numFmtId="38" fontId="1" fillId="0" borderId="0" xfId="1" applyFont="1" applyFill="1">
      <alignment vertical="center"/>
    </xf>
    <xf numFmtId="38" fontId="1" fillId="5" borderId="3" xfId="1" applyFont="1" applyFill="1" applyBorder="1">
      <alignment vertical="center"/>
    </xf>
    <xf numFmtId="38" fontId="21" fillId="5" borderId="6" xfId="1" applyFont="1" applyFill="1" applyBorder="1">
      <alignment vertical="center"/>
    </xf>
    <xf numFmtId="38" fontId="32" fillId="5" borderId="5" xfId="1" applyFont="1" applyFill="1" applyBorder="1" applyAlignment="1">
      <alignment vertical="center"/>
    </xf>
    <xf numFmtId="38" fontId="32" fillId="5" borderId="3" xfId="1" applyFont="1" applyFill="1" applyBorder="1" applyAlignment="1">
      <alignment horizontal="center" vertical="center"/>
    </xf>
    <xf numFmtId="38" fontId="32" fillId="5" borderId="3" xfId="1" applyFont="1" applyFill="1" applyBorder="1" applyAlignment="1">
      <alignment vertical="center"/>
    </xf>
    <xf numFmtId="38" fontId="21" fillId="5" borderId="3" xfId="1" applyFont="1" applyFill="1" applyBorder="1" applyAlignment="1">
      <alignment vertical="center"/>
    </xf>
    <xf numFmtId="38" fontId="21" fillId="5" borderId="3" xfId="1" applyFont="1" applyFill="1" applyBorder="1">
      <alignment vertical="center"/>
    </xf>
    <xf numFmtId="38" fontId="21" fillId="5" borderId="1" xfId="1" applyFont="1" applyFill="1" applyBorder="1">
      <alignment vertical="center"/>
    </xf>
    <xf numFmtId="38" fontId="21" fillId="5" borderId="3" xfId="1" applyFont="1" applyFill="1" applyBorder="1" applyAlignment="1">
      <alignment horizontal="center" vertical="center"/>
    </xf>
    <xf numFmtId="0" fontId="0" fillId="8" borderId="7" xfId="0" applyFill="1" applyBorder="1" applyAlignment="1">
      <alignment horizontal="left" vertical="center"/>
    </xf>
    <xf numFmtId="0" fontId="0" fillId="8" borderId="13" xfId="0" applyFill="1" applyBorder="1" applyAlignment="1">
      <alignment horizontal="left" vertical="center"/>
    </xf>
    <xf numFmtId="0" fontId="0" fillId="8" borderId="6" xfId="0" applyFill="1" applyBorder="1" applyAlignment="1">
      <alignment horizontal="left" vertical="center"/>
    </xf>
    <xf numFmtId="0" fontId="0" fillId="8" borderId="0" xfId="0" applyFill="1" applyAlignment="1">
      <alignment horizontal="center" vertical="center"/>
    </xf>
    <xf numFmtId="0" fontId="30" fillId="0" borderId="0" xfId="0" applyFont="1" applyAlignment="1">
      <alignment horizontal="center" vertical="center"/>
    </xf>
    <xf numFmtId="177" fontId="7" fillId="8" borderId="7" xfId="0" applyNumberFormat="1" applyFont="1" applyFill="1" applyBorder="1" applyAlignment="1">
      <alignment horizontal="center" vertical="center"/>
    </xf>
    <xf numFmtId="177" fontId="7" fillId="8" borderId="13" xfId="0" applyNumberFormat="1" applyFont="1" applyFill="1" applyBorder="1" applyAlignment="1">
      <alignment horizontal="center" vertical="center"/>
    </xf>
    <xf numFmtId="177" fontId="7" fillId="8" borderId="6" xfId="0" applyNumberFormat="1" applyFont="1" applyFill="1" applyBorder="1" applyAlignment="1">
      <alignment horizontal="center" vertical="center"/>
    </xf>
    <xf numFmtId="38" fontId="7" fillId="2" borderId="3" xfId="1" applyFont="1" applyFill="1" applyBorder="1" applyAlignment="1">
      <alignment horizontal="center" vertical="center"/>
    </xf>
    <xf numFmtId="38" fontId="9" fillId="0" borderId="0" xfId="1" applyFont="1" applyAlignment="1">
      <alignment horizontal="lef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7" fillId="8" borderId="24" xfId="0" applyFont="1" applyFill="1" applyBorder="1" applyAlignment="1">
      <alignment horizontal="center" vertical="center"/>
    </xf>
    <xf numFmtId="0" fontId="7" fillId="8" borderId="25" xfId="0" applyFont="1" applyFill="1" applyBorder="1" applyAlignment="1">
      <alignment horizontal="center" vertical="center"/>
    </xf>
    <xf numFmtId="38" fontId="8" fillId="0" borderId="0" xfId="1" applyFont="1" applyAlignment="1">
      <alignment horizontal="left" vertical="center"/>
    </xf>
    <xf numFmtId="0" fontId="7" fillId="2" borderId="11"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8"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6" xfId="0" applyFont="1" applyFill="1" applyBorder="1" applyAlignment="1">
      <alignment horizontal="center"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5" xfId="1" applyFont="1" applyBorder="1" applyAlignment="1">
      <alignment horizontal="right" vertical="center"/>
    </xf>
    <xf numFmtId="38" fontId="0" fillId="0" borderId="7" xfId="1" applyFont="1" applyBorder="1" applyAlignment="1">
      <alignment horizontal="right" vertical="center"/>
    </xf>
    <xf numFmtId="38" fontId="0" fillId="0" borderId="13" xfId="1" applyFont="1" applyBorder="1" applyAlignment="1">
      <alignment horizontal="right" vertical="center"/>
    </xf>
    <xf numFmtId="38" fontId="0" fillId="0" borderId="6" xfId="1" applyFont="1" applyBorder="1" applyAlignment="1">
      <alignment horizontal="right" vertical="center"/>
    </xf>
    <xf numFmtId="38" fontId="0" fillId="5" borderId="3" xfId="1" applyFont="1" applyFill="1" applyBorder="1" applyAlignment="1">
      <alignment horizontal="left" vertical="center"/>
    </xf>
    <xf numFmtId="38" fontId="0" fillId="8" borderId="7" xfId="1" applyFont="1" applyFill="1" applyBorder="1" applyAlignment="1">
      <alignment horizontal="left" vertical="center"/>
    </xf>
    <xf numFmtId="38" fontId="0" fillId="8" borderId="6" xfId="1" applyFont="1" applyFill="1" applyBorder="1" applyAlignment="1">
      <alignment horizontal="left" vertical="center"/>
    </xf>
    <xf numFmtId="38" fontId="0" fillId="8" borderId="28" xfId="1" applyFont="1" applyFill="1" applyBorder="1" applyAlignment="1">
      <alignment horizontal="left" vertical="center"/>
    </xf>
    <xf numFmtId="38" fontId="0" fillId="8" borderId="29" xfId="1" applyFont="1" applyFill="1" applyBorder="1" applyAlignment="1">
      <alignment horizontal="left" vertical="center"/>
    </xf>
    <xf numFmtId="38" fontId="13" fillId="9" borderId="0" xfId="1" applyFont="1" applyFill="1" applyBorder="1" applyAlignment="1">
      <alignment horizontal="center" vertical="center"/>
    </xf>
    <xf numFmtId="38" fontId="0" fillId="0" borderId="14" xfId="1" applyFont="1" applyBorder="1" applyAlignment="1">
      <alignment horizontal="right" vertical="center"/>
    </xf>
    <xf numFmtId="38" fontId="0" fillId="0" borderId="15" xfId="1" applyFont="1" applyBorder="1" applyAlignment="1">
      <alignment horizontal="right" vertical="center"/>
    </xf>
    <xf numFmtId="38" fontId="0" fillId="0" borderId="3" xfId="1" applyFont="1" applyBorder="1" applyAlignment="1">
      <alignment horizontal="left" vertical="center"/>
    </xf>
    <xf numFmtId="38" fontId="0" fillId="0" borderId="2" xfId="1" applyFont="1" applyBorder="1" applyAlignment="1">
      <alignment horizontal="left" vertical="center"/>
    </xf>
    <xf numFmtId="38" fontId="0" fillId="5" borderId="7" xfId="1" applyFont="1" applyFill="1" applyBorder="1" applyAlignment="1">
      <alignment horizontal="left" vertical="center"/>
    </xf>
    <xf numFmtId="38" fontId="0" fillId="5" borderId="6" xfId="1" applyFont="1" applyFill="1" applyBorder="1" applyAlignment="1">
      <alignment horizontal="left" vertical="center"/>
    </xf>
    <xf numFmtId="38" fontId="0" fillId="0" borderId="7" xfId="1" applyFont="1" applyBorder="1" applyAlignment="1">
      <alignment vertical="center"/>
    </xf>
    <xf numFmtId="38" fontId="0" fillId="0" borderId="6" xfId="1" applyFont="1" applyBorder="1" applyAlignment="1">
      <alignment vertical="center"/>
    </xf>
    <xf numFmtId="38" fontId="0" fillId="8" borderId="3" xfId="1" applyFont="1" applyFill="1" applyBorder="1" applyAlignment="1">
      <alignment horizontal="left" vertical="center"/>
    </xf>
    <xf numFmtId="38" fontId="0" fillId="5" borderId="7" xfId="1" applyFont="1" applyFill="1" applyBorder="1" applyAlignment="1">
      <alignment horizontal="center" vertical="center"/>
    </xf>
    <xf numFmtId="38" fontId="0" fillId="5" borderId="6" xfId="1" applyFont="1" applyFill="1" applyBorder="1" applyAlignment="1">
      <alignment horizontal="center" vertical="center"/>
    </xf>
    <xf numFmtId="176" fontId="0" fillId="8" borderId="7" xfId="1" applyNumberFormat="1" applyFont="1" applyFill="1" applyBorder="1" applyAlignment="1">
      <alignment horizontal="center" vertical="center"/>
    </xf>
    <xf numFmtId="176" fontId="0" fillId="8" borderId="6" xfId="1" applyNumberFormat="1" applyFont="1" applyFill="1" applyBorder="1" applyAlignment="1">
      <alignment horizontal="center" vertical="center"/>
    </xf>
    <xf numFmtId="176" fontId="0" fillId="0" borderId="3" xfId="1" applyNumberFormat="1" applyFont="1" applyBorder="1" applyAlignment="1">
      <alignment horizontal="center" vertical="center"/>
    </xf>
    <xf numFmtId="38" fontId="0" fillId="5" borderId="5" xfId="1" applyFont="1" applyFill="1" applyBorder="1" applyAlignment="1">
      <alignment horizontal="center" vertical="center"/>
    </xf>
    <xf numFmtId="38" fontId="13" fillId="9" borderId="15" xfId="1" applyFont="1" applyFill="1" applyBorder="1" applyAlignment="1">
      <alignment horizontal="center" vertical="center"/>
    </xf>
    <xf numFmtId="0" fontId="0" fillId="0" borderId="3" xfId="0" applyBorder="1" applyAlignment="1">
      <alignment horizontal="center" vertical="center"/>
    </xf>
    <xf numFmtId="0" fontId="30" fillId="0" borderId="0" xfId="0" applyFont="1" applyAlignment="1">
      <alignment horizontal="left" vertical="center"/>
    </xf>
    <xf numFmtId="0" fontId="0" fillId="5" borderId="1" xfId="0" applyFill="1" applyBorder="1" applyAlignment="1">
      <alignment horizontal="center" vertical="center"/>
    </xf>
    <xf numFmtId="0" fontId="6" fillId="8" borderId="7" xfId="0" applyFont="1" applyFill="1" applyBorder="1" applyAlignment="1">
      <alignment horizontal="left" vertical="center" shrinkToFit="1"/>
    </xf>
    <xf numFmtId="0" fontId="6" fillId="8" borderId="6" xfId="0" applyFont="1" applyFill="1" applyBorder="1" applyAlignment="1">
      <alignment horizontal="left" vertical="center" shrinkToFit="1"/>
    </xf>
    <xf numFmtId="0" fontId="31" fillId="5" borderId="3" xfId="0" applyFont="1" applyFill="1" applyBorder="1" applyAlignment="1">
      <alignment horizontal="center" vertical="center"/>
    </xf>
    <xf numFmtId="0" fontId="6" fillId="0" borderId="5" xfId="0" applyFont="1" applyFill="1" applyBorder="1" applyAlignment="1">
      <alignment horizontal="left" vertical="center"/>
    </xf>
    <xf numFmtId="0" fontId="6" fillId="0" borderId="3" xfId="0" applyFont="1" applyFill="1" applyBorder="1" applyAlignment="1">
      <alignment horizontal="left" vertical="center"/>
    </xf>
    <xf numFmtId="0" fontId="6" fillId="0" borderId="7"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1" xfId="0" applyFont="1" applyFill="1" applyBorder="1" applyAlignment="1">
      <alignment horizontal="left" vertical="center"/>
    </xf>
    <xf numFmtId="0" fontId="6" fillId="5" borderId="7" xfId="0" applyFont="1" applyFill="1" applyBorder="1" applyAlignment="1">
      <alignment horizontal="left" vertical="center"/>
    </xf>
    <xf numFmtId="0" fontId="6" fillId="5" borderId="13" xfId="0" applyFont="1" applyFill="1" applyBorder="1" applyAlignment="1">
      <alignment horizontal="left" vertical="center"/>
    </xf>
    <xf numFmtId="0" fontId="6" fillId="5" borderId="6" xfId="0" applyFont="1" applyFill="1" applyBorder="1" applyAlignment="1">
      <alignment horizontal="left" vertical="center"/>
    </xf>
    <xf numFmtId="0" fontId="5" fillId="5" borderId="3" xfId="0" applyFont="1" applyFill="1" applyBorder="1" applyAlignment="1">
      <alignment horizontal="center" vertical="center"/>
    </xf>
    <xf numFmtId="0" fontId="6" fillId="0" borderId="7" xfId="0" applyFont="1" applyFill="1" applyBorder="1" applyAlignment="1">
      <alignment horizontal="left" vertical="center"/>
    </xf>
    <xf numFmtId="0" fontId="6" fillId="0" borderId="13" xfId="0" applyFont="1" applyFill="1" applyBorder="1" applyAlignment="1">
      <alignment horizontal="left" vertical="center"/>
    </xf>
    <xf numFmtId="0" fontId="6" fillId="0" borderId="6" xfId="0" applyFont="1" applyFill="1" applyBorder="1" applyAlignment="1">
      <alignment horizontal="left" vertical="center"/>
    </xf>
    <xf numFmtId="38" fontId="4" fillId="0" borderId="3" xfId="1" applyFont="1" applyFill="1" applyBorder="1" applyAlignment="1">
      <alignment horizontal="center" vertical="center" textRotation="255"/>
    </xf>
    <xf numFmtId="0" fontId="32" fillId="5" borderId="3" xfId="0" applyFont="1" applyFill="1" applyBorder="1" applyAlignment="1">
      <alignment horizontal="center" vertical="center"/>
    </xf>
    <xf numFmtId="0" fontId="23" fillId="0" borderId="5" xfId="0" applyFont="1" applyFill="1" applyBorder="1" applyAlignment="1">
      <alignment horizontal="left" vertical="center"/>
    </xf>
    <xf numFmtId="0" fontId="23" fillId="0" borderId="3" xfId="0" applyFont="1" applyFill="1" applyBorder="1" applyAlignment="1">
      <alignment horizontal="left" vertical="center"/>
    </xf>
    <xf numFmtId="38" fontId="3" fillId="0" borderId="0" xfId="1" applyFont="1" applyFill="1" applyAlignment="1">
      <alignment vertical="center"/>
    </xf>
    <xf numFmtId="0" fontId="23" fillId="8" borderId="7" xfId="0" applyFont="1" applyFill="1" applyBorder="1" applyAlignment="1">
      <alignment horizontal="left" vertical="center"/>
    </xf>
    <xf numFmtId="0" fontId="23" fillId="8"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6" xfId="0" applyFont="1" applyFill="1" applyBorder="1" applyAlignment="1">
      <alignment horizontal="left" vertical="center"/>
    </xf>
  </cellXfs>
  <cellStyles count="4">
    <cellStyle name="パーセント" xfId="3" builtinId="5"/>
    <cellStyle name="桁区切り" xfId="1" builtinId="6"/>
    <cellStyle name="通貨" xfId="2" builtinId="7"/>
    <cellStyle name="標準" xfId="0" builtinId="0"/>
  </cellStyles>
  <dxfs count="4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auto="1"/>
      </font>
      <fill>
        <patternFill>
          <bgColor rgb="FF00B050"/>
        </patternFill>
      </fill>
    </dxf>
    <dxf>
      <font>
        <color theme="1"/>
      </font>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theme="1"/>
        </left>
        <right style="thin">
          <color theme="1"/>
        </right>
        <top style="thin">
          <color theme="1"/>
        </top>
        <bottom style="thin">
          <color theme="1"/>
        </bottom>
      </border>
    </dxf>
    <dxf>
      <font>
        <color theme="1"/>
      </font>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mruColors>
      <color rgb="FFCCFFFF"/>
      <color rgb="FFCCFFCC"/>
      <color rgb="FFFFFFCC"/>
      <color rgb="FFFFFFFF"/>
      <color rgb="FFFF9201"/>
      <color rgb="FF99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9525</xdr:colOff>
      <xdr:row>11</xdr:row>
      <xdr:rowOff>66675</xdr:rowOff>
    </xdr:from>
    <xdr:to>
      <xdr:col>8</xdr:col>
      <xdr:colOff>238125</xdr:colOff>
      <xdr:row>14</xdr:row>
      <xdr:rowOff>247650</xdr:rowOff>
    </xdr:to>
    <xdr:sp macro="" textlink="">
      <xdr:nvSpPr>
        <xdr:cNvPr id="2" name="正方形/長方形 1"/>
        <xdr:cNvSpPr/>
      </xdr:nvSpPr>
      <xdr:spPr>
        <a:xfrm>
          <a:off x="3352800" y="3419475"/>
          <a:ext cx="3028950" cy="1095375"/>
        </a:xfrm>
        <a:prstGeom prst="rect">
          <a:avLst/>
        </a:prstGeom>
        <a:solidFill>
          <a:schemeClr val="bg1"/>
        </a:solidFill>
        <a:ln w="38100">
          <a:solidFill>
            <a:srgbClr val="00B0F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各数値について</a:t>
          </a:r>
          <a:r>
            <a:rPr kumimoji="1" lang="en-US" altLang="ja-JP" sz="1100">
              <a:solidFill>
                <a:schemeClr val="tx1"/>
              </a:solidFill>
            </a:rPr>
            <a:t>】</a:t>
          </a:r>
        </a:p>
        <a:p>
          <a:pPr algn="l"/>
          <a:r>
            <a:rPr kumimoji="1" lang="ja-JP" altLang="en-US" sz="1100">
              <a:solidFill>
                <a:schemeClr val="tx1"/>
              </a:solidFill>
            </a:rPr>
            <a:t>○水色の項目については、手入力が必要です。</a:t>
          </a:r>
          <a:endParaRPr kumimoji="1" lang="en-US" altLang="ja-JP" sz="1100">
            <a:solidFill>
              <a:schemeClr val="tx1"/>
            </a:solidFill>
          </a:endParaRPr>
        </a:p>
        <a:p>
          <a:pPr algn="l"/>
          <a:r>
            <a:rPr kumimoji="1" lang="ja-JP" altLang="en-US" sz="1100">
              <a:solidFill>
                <a:schemeClr val="tx1"/>
              </a:solidFill>
            </a:rPr>
            <a:t>○水色以外の項目は、自動計算されています。修正が必要な場合は、上書きしてください。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11</xdr:row>
      <xdr:rowOff>76200</xdr:rowOff>
    </xdr:from>
    <xdr:to>
      <xdr:col>31</xdr:col>
      <xdr:colOff>47625</xdr:colOff>
      <xdr:row>18</xdr:row>
      <xdr:rowOff>95250</xdr:rowOff>
    </xdr:to>
    <xdr:sp macro="" textlink="">
      <xdr:nvSpPr>
        <xdr:cNvPr id="2" name="テキスト ボックス 1"/>
        <xdr:cNvSpPr txBox="1"/>
      </xdr:nvSpPr>
      <xdr:spPr>
        <a:xfrm>
          <a:off x="2228850" y="2362200"/>
          <a:ext cx="5495925" cy="1352550"/>
        </a:xfrm>
        <a:prstGeom prst="rect">
          <a:avLst/>
        </a:prstGeom>
        <a:solidFill>
          <a:srgbClr val="FFFFFF">
            <a:alpha val="6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200">
              <a:solidFill>
                <a:srgbClr val="00B0F0"/>
              </a:solidFill>
              <a:effectLst>
                <a:outerShdw blurRad="50800" dist="38100" dir="2700000" algn="tl" rotWithShape="0">
                  <a:prstClr val="black">
                    <a:alpha val="40000"/>
                  </a:prstClr>
                </a:outerShdw>
              </a:effectLst>
            </a:rPr>
            <a:t>sample</a:t>
          </a:r>
          <a:endParaRPr kumimoji="1" lang="ja-JP" altLang="en-US" sz="7200">
            <a:solidFill>
              <a:srgbClr val="00B0F0"/>
            </a:solidFill>
            <a:effectLst>
              <a:outerShdw blurRad="50800" dist="38100" dir="2700000" algn="tl" rotWithShape="0">
                <a:prstClr val="black">
                  <a:alpha val="40000"/>
                </a:prstClr>
              </a:outerShdw>
            </a:effectLst>
          </a:endParaRPr>
        </a:p>
      </xdr:txBody>
    </xdr:sp>
    <xdr:clientData/>
  </xdr:twoCellAnchor>
  <xdr:twoCellAnchor>
    <xdr:from>
      <xdr:col>30</xdr:col>
      <xdr:colOff>200025</xdr:colOff>
      <xdr:row>27</xdr:row>
      <xdr:rowOff>123825</xdr:rowOff>
    </xdr:from>
    <xdr:to>
      <xdr:col>43</xdr:col>
      <xdr:colOff>9525</xdr:colOff>
      <xdr:row>33</xdr:row>
      <xdr:rowOff>76200</xdr:rowOff>
    </xdr:to>
    <xdr:sp macro="" textlink="">
      <xdr:nvSpPr>
        <xdr:cNvPr id="3" name="正方形/長方形 2"/>
        <xdr:cNvSpPr/>
      </xdr:nvSpPr>
      <xdr:spPr>
        <a:xfrm>
          <a:off x="7629525" y="5267325"/>
          <a:ext cx="3028950" cy="1095375"/>
        </a:xfrm>
        <a:prstGeom prst="rect">
          <a:avLst/>
        </a:prstGeom>
        <a:solidFill>
          <a:schemeClr val="bg1"/>
        </a:solidFill>
        <a:ln w="38100">
          <a:solidFill>
            <a:srgbClr val="00B0F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各数値について</a:t>
          </a:r>
          <a:r>
            <a:rPr kumimoji="1" lang="en-US" altLang="ja-JP" sz="1100">
              <a:solidFill>
                <a:schemeClr val="tx1"/>
              </a:solidFill>
            </a:rPr>
            <a:t>】</a:t>
          </a:r>
        </a:p>
        <a:p>
          <a:pPr algn="l"/>
          <a:r>
            <a:rPr kumimoji="1" lang="ja-JP" altLang="en-US" sz="1100">
              <a:solidFill>
                <a:schemeClr val="tx1"/>
              </a:solidFill>
            </a:rPr>
            <a:t>○水色の項目については、手入力が必要です。</a:t>
          </a:r>
          <a:endParaRPr kumimoji="1" lang="en-US" altLang="ja-JP" sz="1100">
            <a:solidFill>
              <a:schemeClr val="tx1"/>
            </a:solidFill>
          </a:endParaRPr>
        </a:p>
        <a:p>
          <a:pPr algn="l"/>
          <a:r>
            <a:rPr kumimoji="1" lang="ja-JP" altLang="en-US" sz="1100">
              <a:solidFill>
                <a:schemeClr val="tx1"/>
              </a:solidFill>
            </a:rPr>
            <a:t>○水色以外の項目は、自動計算されています。修正が必要な場合は、上書きしてください。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41</xdr:row>
      <xdr:rowOff>47625</xdr:rowOff>
    </xdr:from>
    <xdr:to>
      <xdr:col>8</xdr:col>
      <xdr:colOff>733425</xdr:colOff>
      <xdr:row>46</xdr:row>
      <xdr:rowOff>47625</xdr:rowOff>
    </xdr:to>
    <xdr:sp macro="" textlink="">
      <xdr:nvSpPr>
        <xdr:cNvPr id="2" name="右矢印 1"/>
        <xdr:cNvSpPr/>
      </xdr:nvSpPr>
      <xdr:spPr>
        <a:xfrm>
          <a:off x="4857750" y="6391275"/>
          <a:ext cx="704850" cy="866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548640</xdr:colOff>
      <xdr:row>18</xdr:row>
      <xdr:rowOff>68580</xdr:rowOff>
    </xdr:from>
    <xdr:to>
      <xdr:col>13</xdr:col>
      <xdr:colOff>537210</xdr:colOff>
      <xdr:row>26</xdr:row>
      <xdr:rowOff>45720</xdr:rowOff>
    </xdr:to>
    <xdr:sp macro="" textlink="">
      <xdr:nvSpPr>
        <xdr:cNvPr id="5" name="テキスト ボックス 4"/>
        <xdr:cNvSpPr txBox="1"/>
      </xdr:nvSpPr>
      <xdr:spPr>
        <a:xfrm>
          <a:off x="4198620" y="3032760"/>
          <a:ext cx="4949190" cy="1318260"/>
        </a:xfrm>
        <a:prstGeom prst="rect">
          <a:avLst/>
        </a:prstGeom>
        <a:solidFill>
          <a:srgbClr val="FFFFFF">
            <a:alpha val="6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200">
              <a:solidFill>
                <a:srgbClr val="00B0F0"/>
              </a:solidFill>
              <a:effectLst>
                <a:outerShdw blurRad="50800" dist="38100" dir="2700000" algn="tl" rotWithShape="0">
                  <a:prstClr val="black">
                    <a:alpha val="40000"/>
                  </a:prstClr>
                </a:outerShdw>
              </a:effectLst>
            </a:rPr>
            <a:t>sample</a:t>
          </a:r>
          <a:endParaRPr kumimoji="1" lang="ja-JP" altLang="en-US" sz="7200">
            <a:solidFill>
              <a:srgbClr val="00B0F0"/>
            </a:solidFill>
            <a:effectLst>
              <a:outerShdw blurRad="50800" dist="38100" dir="2700000" algn="tl" rotWithShape="0">
                <a:prstClr val="black">
                  <a:alpha val="40000"/>
                </a:prstClr>
              </a:outerShdw>
            </a:effectLst>
          </a:endParaRPr>
        </a:p>
      </xdr:txBody>
    </xdr:sp>
    <xdr:clientData/>
  </xdr:twoCellAnchor>
  <xdr:twoCellAnchor>
    <xdr:from>
      <xdr:col>11</xdr:col>
      <xdr:colOff>76200</xdr:colOff>
      <xdr:row>25</xdr:row>
      <xdr:rowOff>9525</xdr:rowOff>
    </xdr:from>
    <xdr:to>
      <xdr:col>14</xdr:col>
      <xdr:colOff>295275</xdr:colOff>
      <xdr:row>31</xdr:row>
      <xdr:rowOff>76200</xdr:rowOff>
    </xdr:to>
    <xdr:sp macro="" textlink="">
      <xdr:nvSpPr>
        <xdr:cNvPr id="4" name="正方形/長方形 3"/>
        <xdr:cNvSpPr/>
      </xdr:nvSpPr>
      <xdr:spPr>
        <a:xfrm>
          <a:off x="8524875" y="4410075"/>
          <a:ext cx="3028950" cy="1095375"/>
        </a:xfrm>
        <a:prstGeom prst="rect">
          <a:avLst/>
        </a:prstGeom>
        <a:solidFill>
          <a:schemeClr val="bg1"/>
        </a:solidFill>
        <a:ln w="38100">
          <a:solidFill>
            <a:srgbClr val="00B0F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各数値について</a:t>
          </a:r>
          <a:r>
            <a:rPr kumimoji="1" lang="en-US" altLang="ja-JP" sz="1100">
              <a:solidFill>
                <a:schemeClr val="tx1"/>
              </a:solidFill>
            </a:rPr>
            <a:t>】</a:t>
          </a:r>
        </a:p>
        <a:p>
          <a:pPr algn="l"/>
          <a:r>
            <a:rPr kumimoji="1" lang="ja-JP" altLang="en-US" sz="1100">
              <a:solidFill>
                <a:schemeClr val="tx1"/>
              </a:solidFill>
            </a:rPr>
            <a:t>○水色の項目については、手入力が必要です。</a:t>
          </a:r>
          <a:endParaRPr kumimoji="1" lang="en-US" altLang="ja-JP" sz="1100">
            <a:solidFill>
              <a:schemeClr val="tx1"/>
            </a:solidFill>
          </a:endParaRPr>
        </a:p>
        <a:p>
          <a:pPr algn="l"/>
          <a:r>
            <a:rPr kumimoji="1" lang="ja-JP" altLang="en-US" sz="1100">
              <a:solidFill>
                <a:schemeClr val="tx1"/>
              </a:solidFill>
            </a:rPr>
            <a:t>○水色以外の項目は、自動計算されています。修正が必要な場合は、上書きしてください。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521804</xdr:colOff>
      <xdr:row>7</xdr:row>
      <xdr:rowOff>66261</xdr:rowOff>
    </xdr:from>
    <xdr:to>
      <xdr:col>7</xdr:col>
      <xdr:colOff>418686</xdr:colOff>
      <xdr:row>15</xdr:row>
      <xdr:rowOff>19049</xdr:rowOff>
    </xdr:to>
    <xdr:sp macro="" textlink="">
      <xdr:nvSpPr>
        <xdr:cNvPr id="2" name="テキスト ボックス 1"/>
        <xdr:cNvSpPr txBox="1"/>
      </xdr:nvSpPr>
      <xdr:spPr>
        <a:xfrm>
          <a:off x="737152" y="1416326"/>
          <a:ext cx="5495925" cy="1352549"/>
        </a:xfrm>
        <a:prstGeom prst="rect">
          <a:avLst/>
        </a:prstGeom>
        <a:solidFill>
          <a:srgbClr val="FFFFFF">
            <a:alpha val="6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200">
              <a:solidFill>
                <a:srgbClr val="00B0F0"/>
              </a:solidFill>
              <a:effectLst>
                <a:outerShdw blurRad="50800" dist="38100" dir="2700000" algn="tl" rotWithShape="0">
                  <a:prstClr val="black">
                    <a:alpha val="40000"/>
                  </a:prstClr>
                </a:outerShdw>
              </a:effectLst>
            </a:rPr>
            <a:t>sample</a:t>
          </a:r>
          <a:endParaRPr kumimoji="1" lang="ja-JP" altLang="en-US" sz="7200">
            <a:solidFill>
              <a:srgbClr val="00B0F0"/>
            </a:solidFill>
            <a:effectLst>
              <a:outerShdw blurRad="50800" dist="38100" dir="2700000" algn="tl" rotWithShape="0">
                <a:prstClr val="black">
                  <a:alpha val="40000"/>
                </a:prstClr>
              </a:outerShdw>
            </a:effectLst>
          </a:endParaRPr>
        </a:p>
      </xdr:txBody>
    </xdr:sp>
    <xdr:clientData/>
  </xdr:twoCellAnchor>
  <xdr:twoCellAnchor>
    <xdr:from>
      <xdr:col>4</xdr:col>
      <xdr:colOff>339587</xdr:colOff>
      <xdr:row>17</xdr:row>
      <xdr:rowOff>82826</xdr:rowOff>
    </xdr:from>
    <xdr:to>
      <xdr:col>7</xdr:col>
      <xdr:colOff>535885</xdr:colOff>
      <xdr:row>23</xdr:row>
      <xdr:rowOff>134593</xdr:rowOff>
    </xdr:to>
    <xdr:sp macro="" textlink="">
      <xdr:nvSpPr>
        <xdr:cNvPr id="3" name="正方形/長方形 2"/>
        <xdr:cNvSpPr/>
      </xdr:nvSpPr>
      <xdr:spPr>
        <a:xfrm>
          <a:off x="3321326" y="3180522"/>
          <a:ext cx="3028950" cy="1095375"/>
        </a:xfrm>
        <a:prstGeom prst="rect">
          <a:avLst/>
        </a:prstGeom>
        <a:solidFill>
          <a:schemeClr val="bg1"/>
        </a:solidFill>
        <a:ln w="38100">
          <a:solidFill>
            <a:srgbClr val="00B0F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各数値について</a:t>
          </a:r>
          <a:r>
            <a:rPr kumimoji="1" lang="en-US" altLang="ja-JP" sz="1100">
              <a:solidFill>
                <a:schemeClr val="tx1"/>
              </a:solidFill>
            </a:rPr>
            <a:t>】</a:t>
          </a:r>
        </a:p>
        <a:p>
          <a:pPr algn="l"/>
          <a:r>
            <a:rPr kumimoji="1" lang="ja-JP" altLang="en-US" sz="1100">
              <a:solidFill>
                <a:schemeClr val="tx1"/>
              </a:solidFill>
            </a:rPr>
            <a:t>○水色の項目については、手入力が必要です。</a:t>
          </a:r>
          <a:endParaRPr kumimoji="1" lang="en-US" altLang="ja-JP" sz="1100">
            <a:solidFill>
              <a:schemeClr val="tx1"/>
            </a:solidFill>
          </a:endParaRPr>
        </a:p>
        <a:p>
          <a:pPr algn="l"/>
          <a:r>
            <a:rPr kumimoji="1" lang="ja-JP" altLang="en-US" sz="1100">
              <a:solidFill>
                <a:schemeClr val="tx1"/>
              </a:solidFill>
            </a:rPr>
            <a:t>○水色以外の項目は、自動計算されています。修正が必要な場合は、上書きしてください。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180318</xdr:colOff>
      <xdr:row>15</xdr:row>
      <xdr:rowOff>657</xdr:rowOff>
    </xdr:from>
    <xdr:to>
      <xdr:col>6</xdr:col>
      <xdr:colOff>427640</xdr:colOff>
      <xdr:row>22</xdr:row>
      <xdr:rowOff>158312</xdr:rowOff>
    </xdr:to>
    <xdr:sp macro="" textlink="">
      <xdr:nvSpPr>
        <xdr:cNvPr id="3" name="テキスト ボックス 2"/>
        <xdr:cNvSpPr txBox="1"/>
      </xdr:nvSpPr>
      <xdr:spPr>
        <a:xfrm>
          <a:off x="180318" y="2572407"/>
          <a:ext cx="5495597" cy="1357805"/>
        </a:xfrm>
        <a:prstGeom prst="rect">
          <a:avLst/>
        </a:prstGeom>
        <a:solidFill>
          <a:srgbClr val="FFFFFF">
            <a:alpha val="6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200">
              <a:solidFill>
                <a:srgbClr val="00B0F0"/>
              </a:solidFill>
              <a:effectLst>
                <a:outerShdw blurRad="50800" dist="38100" dir="2700000" algn="tl" rotWithShape="0">
                  <a:prstClr val="black">
                    <a:alpha val="40000"/>
                  </a:prstClr>
                </a:outerShdw>
              </a:effectLst>
            </a:rPr>
            <a:t>sample</a:t>
          </a:r>
          <a:endParaRPr kumimoji="1" lang="ja-JP" altLang="en-US" sz="7200">
            <a:solidFill>
              <a:srgbClr val="00B0F0"/>
            </a:solidFill>
            <a:effectLst>
              <a:outerShdw blurRad="50800" dist="38100" dir="2700000" algn="tl" rotWithShape="0">
                <a:prstClr val="black">
                  <a:alpha val="40000"/>
                </a:prstClr>
              </a:outerShdw>
            </a:effectLst>
          </a:endParaRPr>
        </a:p>
      </xdr:txBody>
    </xdr:sp>
    <xdr:clientData/>
  </xdr:twoCellAnchor>
  <xdr:twoCellAnchor>
    <xdr:from>
      <xdr:col>3</xdr:col>
      <xdr:colOff>523874</xdr:colOff>
      <xdr:row>35</xdr:row>
      <xdr:rowOff>76200</xdr:rowOff>
    </xdr:from>
    <xdr:to>
      <xdr:col>6</xdr:col>
      <xdr:colOff>314324</xdr:colOff>
      <xdr:row>44</xdr:row>
      <xdr:rowOff>0</xdr:rowOff>
    </xdr:to>
    <xdr:sp macro="" textlink="">
      <xdr:nvSpPr>
        <xdr:cNvPr id="4" name="正方形/長方形 3"/>
        <xdr:cNvSpPr/>
      </xdr:nvSpPr>
      <xdr:spPr>
        <a:xfrm>
          <a:off x="2314574" y="6076950"/>
          <a:ext cx="3248025" cy="1466850"/>
        </a:xfrm>
        <a:prstGeom prst="rect">
          <a:avLst/>
        </a:prstGeom>
        <a:solidFill>
          <a:schemeClr val="bg1"/>
        </a:solidFill>
        <a:ln w="38100">
          <a:solidFill>
            <a:srgbClr val="00B0F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各数値について</a:t>
          </a:r>
          <a:r>
            <a:rPr kumimoji="1" lang="en-US" altLang="ja-JP" sz="1100">
              <a:solidFill>
                <a:schemeClr val="tx1"/>
              </a:solidFill>
            </a:rPr>
            <a:t>】</a:t>
          </a:r>
        </a:p>
        <a:p>
          <a:pPr algn="l"/>
          <a:r>
            <a:rPr kumimoji="1" lang="ja-JP" altLang="en-US" sz="1100">
              <a:solidFill>
                <a:schemeClr val="tx1"/>
              </a:solidFill>
            </a:rPr>
            <a:t>○水色の項目については、手入力が必要です。</a:t>
          </a:r>
          <a:endParaRPr kumimoji="1" lang="en-US" altLang="ja-JP" sz="1100">
            <a:solidFill>
              <a:schemeClr val="tx1"/>
            </a:solidFill>
          </a:endParaRPr>
        </a:p>
        <a:p>
          <a:pPr algn="l"/>
          <a:r>
            <a:rPr kumimoji="1" lang="ja-JP" altLang="en-US" sz="1100">
              <a:solidFill>
                <a:schemeClr val="tx1"/>
              </a:solidFill>
            </a:rPr>
            <a:t>○水色以外の項目は、自動計算されています。修正が必要な場合は、上書きしてください。</a:t>
          </a:r>
          <a:endParaRPr kumimoji="1" lang="en-US" altLang="ja-JP" sz="1100">
            <a:solidFill>
              <a:schemeClr val="tx1"/>
            </a:solidFill>
          </a:endParaRPr>
        </a:p>
        <a:p>
          <a:pPr algn="l"/>
          <a:r>
            <a:rPr kumimoji="1" lang="ja-JP" altLang="en-US" sz="1100">
              <a:solidFill>
                <a:schemeClr val="tx1"/>
              </a:solidFill>
            </a:rPr>
            <a:t>○行数を増やした場合は、⑥設備一覧表も同様に増加する必要があります。</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981075</xdr:colOff>
      <xdr:row>19</xdr:row>
      <xdr:rowOff>95250</xdr:rowOff>
    </xdr:from>
    <xdr:to>
      <xdr:col>4</xdr:col>
      <xdr:colOff>485775</xdr:colOff>
      <xdr:row>25</xdr:row>
      <xdr:rowOff>142875</xdr:rowOff>
    </xdr:to>
    <xdr:sp macro="" textlink="">
      <xdr:nvSpPr>
        <xdr:cNvPr id="2" name="正方形/長方形 1"/>
        <xdr:cNvSpPr/>
      </xdr:nvSpPr>
      <xdr:spPr>
        <a:xfrm>
          <a:off x="1476375" y="4476750"/>
          <a:ext cx="3000375" cy="1362075"/>
        </a:xfrm>
        <a:prstGeom prst="rect">
          <a:avLst/>
        </a:prstGeom>
        <a:solidFill>
          <a:schemeClr val="bg1"/>
        </a:solidFill>
        <a:ln w="38100">
          <a:solidFill>
            <a:srgbClr val="00B0F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各数値について</a:t>
          </a:r>
          <a:r>
            <a:rPr kumimoji="1" lang="en-US" altLang="ja-JP" sz="1100">
              <a:solidFill>
                <a:schemeClr val="tx1"/>
              </a:solidFill>
            </a:rPr>
            <a:t>】</a:t>
          </a:r>
        </a:p>
        <a:p>
          <a:pPr algn="l"/>
          <a:r>
            <a:rPr kumimoji="1" lang="ja-JP" altLang="en-US" sz="1100">
              <a:solidFill>
                <a:schemeClr val="tx1"/>
              </a:solidFill>
            </a:rPr>
            <a:t>○水色の項目については、手入力が必要です。</a:t>
          </a:r>
          <a:endParaRPr kumimoji="1" lang="en-US" altLang="ja-JP" sz="1100">
            <a:solidFill>
              <a:schemeClr val="tx1"/>
            </a:solidFill>
          </a:endParaRPr>
        </a:p>
        <a:p>
          <a:pPr algn="l"/>
          <a:r>
            <a:rPr kumimoji="1" lang="ja-JP" altLang="en-US" sz="1100">
              <a:solidFill>
                <a:schemeClr val="tx1"/>
              </a:solidFill>
            </a:rPr>
            <a:t>○水色以外の項目は、自動計算されています。修正が必要な場合は、上書きしてください。</a:t>
          </a:r>
          <a:endParaRPr kumimoji="1" lang="en-US" altLang="ja-JP" sz="1100">
            <a:solidFill>
              <a:schemeClr val="tx1"/>
            </a:solidFill>
          </a:endParaRPr>
        </a:p>
        <a:p>
          <a:pPr algn="l"/>
          <a:r>
            <a:rPr kumimoji="1" lang="ja-JP" altLang="en-US" sz="1100">
              <a:solidFill>
                <a:schemeClr val="tx1"/>
              </a:solidFill>
            </a:rPr>
            <a:t>○目安のため、端数の簿価は無視しています。</a:t>
          </a:r>
          <a:endParaRPr kumimoji="1" lang="en-US" altLang="ja-JP"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66675</xdr:colOff>
      <xdr:row>28</xdr:row>
      <xdr:rowOff>104774</xdr:rowOff>
    </xdr:from>
    <xdr:to>
      <xdr:col>20</xdr:col>
      <xdr:colOff>257175</xdr:colOff>
      <xdr:row>40</xdr:row>
      <xdr:rowOff>228599</xdr:rowOff>
    </xdr:to>
    <xdr:sp macro="" textlink="">
      <xdr:nvSpPr>
        <xdr:cNvPr id="3" name="正方形/長方形 2"/>
        <xdr:cNvSpPr/>
      </xdr:nvSpPr>
      <xdr:spPr>
        <a:xfrm>
          <a:off x="9991725" y="6772274"/>
          <a:ext cx="3028950" cy="2981325"/>
        </a:xfrm>
        <a:prstGeom prst="rect">
          <a:avLst/>
        </a:prstGeom>
        <a:solidFill>
          <a:schemeClr val="bg1"/>
        </a:solidFill>
        <a:ln w="38100">
          <a:solidFill>
            <a:srgbClr val="00B0F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上記のシミュレーションでは、下記の通り計算しています。皆さまの事業にあった計算方法にご修正ください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導入当初→起動後について</a:t>
          </a:r>
          <a:r>
            <a:rPr kumimoji="1" lang="en-US" altLang="ja-JP" sz="1100">
              <a:solidFill>
                <a:schemeClr val="tx1"/>
              </a:solidFill>
            </a:rPr>
            <a:t>】</a:t>
          </a:r>
        </a:p>
        <a:p>
          <a:pPr algn="l"/>
          <a:r>
            <a:rPr kumimoji="1" lang="ja-JP" altLang="en-US" sz="1100">
              <a:solidFill>
                <a:schemeClr val="tx1"/>
              </a:solidFill>
            </a:rPr>
            <a:t>○　</a:t>
          </a:r>
          <a:r>
            <a:rPr kumimoji="1" lang="en-US" altLang="ja-JP" sz="1100">
              <a:solidFill>
                <a:schemeClr val="tx1"/>
              </a:solidFill>
            </a:rPr>
            <a:t>5</a:t>
          </a:r>
          <a:r>
            <a:rPr kumimoji="1" lang="ja-JP" altLang="en-US" sz="1100">
              <a:solidFill>
                <a:schemeClr val="tx1"/>
              </a:solidFill>
            </a:rPr>
            <a:t>か月後を軌道後の時期としています</a:t>
          </a:r>
        </a:p>
        <a:p>
          <a:pPr algn="l"/>
          <a:r>
            <a:rPr kumimoji="1" lang="ja-JP" altLang="en-US" sz="1100">
              <a:solidFill>
                <a:schemeClr val="tx1"/>
              </a:solidFill>
            </a:rPr>
            <a:t>○　売上高および売上原価については、「起業</a:t>
          </a:r>
          <a:r>
            <a:rPr kumimoji="1" lang="en-US" altLang="ja-JP" sz="1100">
              <a:solidFill>
                <a:schemeClr val="tx1"/>
              </a:solidFill>
            </a:rPr>
            <a:t>1</a:t>
          </a:r>
          <a:r>
            <a:rPr kumimoji="1" lang="ja-JP" altLang="en-US" sz="1100">
              <a:solidFill>
                <a:schemeClr val="tx1"/>
              </a:solidFill>
            </a:rPr>
            <a:t>ヶ月後の数値」と「軌道後の数値」の差額の１／５を前月の数値に加える計算をしています。</a:t>
          </a:r>
        </a:p>
        <a:p>
          <a:pPr algn="l"/>
          <a:r>
            <a:rPr kumimoji="1" lang="en-US" altLang="ja-JP" sz="1100">
              <a:solidFill>
                <a:schemeClr val="tx1"/>
              </a:solidFill>
            </a:rPr>
            <a:t>※</a:t>
          </a:r>
          <a:r>
            <a:rPr kumimoji="1" lang="ja-JP" altLang="en-US" sz="1100">
              <a:solidFill>
                <a:schemeClr val="tx1"/>
              </a:solidFill>
            </a:rPr>
            <a:t>売上高については、売上・原価シートから計算しています。</a:t>
          </a: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各数値について</a:t>
          </a:r>
          <a:r>
            <a:rPr kumimoji="1" lang="en-US" altLang="ja-JP" sz="1100">
              <a:solidFill>
                <a:schemeClr val="tx1"/>
              </a:solidFill>
            </a:rPr>
            <a:t>】</a:t>
          </a:r>
        </a:p>
        <a:p>
          <a:pPr algn="l"/>
          <a:r>
            <a:rPr kumimoji="1" lang="ja-JP" altLang="en-US" sz="1100">
              <a:solidFill>
                <a:schemeClr val="tx1"/>
              </a:solidFill>
            </a:rPr>
            <a:t>○水色の項目については、手入力が必要です。</a:t>
          </a:r>
          <a:endParaRPr kumimoji="1" lang="en-US" altLang="ja-JP" sz="1100">
            <a:solidFill>
              <a:schemeClr val="tx1"/>
            </a:solidFill>
          </a:endParaRPr>
        </a:p>
        <a:p>
          <a:pPr algn="l"/>
          <a:r>
            <a:rPr kumimoji="1" lang="ja-JP" altLang="en-US" sz="1100">
              <a:solidFill>
                <a:schemeClr val="tx1"/>
              </a:solidFill>
            </a:rPr>
            <a:t>○水色以外の項目は、自動計算されています。修正が必要な場合は、上書きしてください。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571500</xdr:colOff>
      <xdr:row>16</xdr:row>
      <xdr:rowOff>133350</xdr:rowOff>
    </xdr:from>
    <xdr:to>
      <xdr:col>17</xdr:col>
      <xdr:colOff>190500</xdr:colOff>
      <xdr:row>22</xdr:row>
      <xdr:rowOff>57150</xdr:rowOff>
    </xdr:to>
    <xdr:sp macro="" textlink="">
      <xdr:nvSpPr>
        <xdr:cNvPr id="2" name="テキスト ボックス 1"/>
        <xdr:cNvSpPr txBox="1"/>
      </xdr:nvSpPr>
      <xdr:spPr>
        <a:xfrm>
          <a:off x="5448300" y="3467100"/>
          <a:ext cx="5495925" cy="1352550"/>
        </a:xfrm>
        <a:prstGeom prst="rect">
          <a:avLst/>
        </a:prstGeom>
        <a:solidFill>
          <a:srgbClr val="FFFFFF">
            <a:alpha val="6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200">
              <a:solidFill>
                <a:srgbClr val="00B0F0"/>
              </a:solidFill>
              <a:effectLst>
                <a:outerShdw blurRad="50800" dist="38100" dir="2700000" algn="tl" rotWithShape="0">
                  <a:prstClr val="black">
                    <a:alpha val="40000"/>
                  </a:prstClr>
                </a:outerShdw>
              </a:effectLst>
            </a:rPr>
            <a:t>sample</a:t>
          </a:r>
          <a:endParaRPr kumimoji="1" lang="ja-JP" altLang="en-US" sz="7200">
            <a:solidFill>
              <a:srgbClr val="00B0F0"/>
            </a:solidFill>
            <a:effectLst>
              <a:outerShdw blurRad="50800" dist="38100" dir="2700000" algn="tl" rotWithShape="0">
                <a:prstClr val="black">
                  <a:alpha val="40000"/>
                </a:prstClr>
              </a:outerShdw>
            </a:effectLst>
          </a:endParaRPr>
        </a:p>
      </xdr:txBody>
    </xdr:sp>
    <xdr:clientData/>
  </xdr:twoCellAnchor>
  <xdr:twoCellAnchor>
    <xdr:from>
      <xdr:col>15</xdr:col>
      <xdr:colOff>171450</xdr:colOff>
      <xdr:row>36</xdr:row>
      <xdr:rowOff>171451</xdr:rowOff>
    </xdr:from>
    <xdr:to>
      <xdr:col>19</xdr:col>
      <xdr:colOff>419100</xdr:colOff>
      <xdr:row>43</xdr:row>
      <xdr:rowOff>142876</xdr:rowOff>
    </xdr:to>
    <xdr:sp macro="" textlink="">
      <xdr:nvSpPr>
        <xdr:cNvPr id="5" name="正方形/長方形 4"/>
        <xdr:cNvSpPr/>
      </xdr:nvSpPr>
      <xdr:spPr>
        <a:xfrm>
          <a:off x="9591675" y="8743951"/>
          <a:ext cx="3028950" cy="1638300"/>
        </a:xfrm>
        <a:prstGeom prst="rect">
          <a:avLst/>
        </a:prstGeom>
        <a:solidFill>
          <a:schemeClr val="bg1"/>
        </a:solidFill>
        <a:ln w="38100">
          <a:solidFill>
            <a:srgbClr val="00B0F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上記のシミュレーションでは、下記の通り計算しています。皆さまの事業にあった計算方法にご修正ください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各数値について</a:t>
          </a:r>
          <a:r>
            <a:rPr kumimoji="1" lang="en-US" altLang="ja-JP" sz="1100">
              <a:solidFill>
                <a:schemeClr val="tx1"/>
              </a:solidFill>
            </a:rPr>
            <a:t>】</a:t>
          </a:r>
        </a:p>
        <a:p>
          <a:pPr algn="l"/>
          <a:r>
            <a:rPr kumimoji="1" lang="ja-JP" altLang="en-US" sz="1100">
              <a:solidFill>
                <a:schemeClr val="tx1"/>
              </a:solidFill>
            </a:rPr>
            <a:t>○水色の項目については、手入力が必要です。</a:t>
          </a:r>
          <a:endParaRPr kumimoji="1" lang="en-US" altLang="ja-JP" sz="1100">
            <a:solidFill>
              <a:schemeClr val="tx1"/>
            </a:solidFill>
          </a:endParaRPr>
        </a:p>
        <a:p>
          <a:pPr algn="l"/>
          <a:r>
            <a:rPr kumimoji="1" lang="ja-JP" altLang="en-US" sz="1100">
              <a:solidFill>
                <a:schemeClr val="tx1"/>
              </a:solidFill>
            </a:rPr>
            <a:t>○水色以外の項目は、自動計算されています。修正が必要な場合は、上書きしてください。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tabSelected="1" workbookViewId="0">
      <selection activeCell="K5" sqref="J5:K5"/>
    </sheetView>
  </sheetViews>
  <sheetFormatPr defaultRowHeight="24" customHeight="1"/>
  <cols>
    <col min="2" max="2" width="16.875" customWidth="1"/>
    <col min="8" max="8" width="9.75" customWidth="1"/>
  </cols>
  <sheetData>
    <row r="1" spans="1:7" ht="24" customHeight="1">
      <c r="A1" s="192" t="s">
        <v>182</v>
      </c>
      <c r="B1" s="192"/>
      <c r="G1" s="125">
        <f>+VALUE(C5&amp;"/"&amp;E5&amp;"/"&amp;"1")</f>
        <v>42461</v>
      </c>
    </row>
    <row r="2" spans="1:7" ht="24" customHeight="1">
      <c r="A2" s="193" t="s">
        <v>181</v>
      </c>
      <c r="B2" s="193"/>
    </row>
    <row r="3" spans="1:7" ht="24" customHeight="1">
      <c r="A3" s="193"/>
      <c r="B3" s="193"/>
    </row>
    <row r="4" spans="1:7" ht="24" customHeight="1">
      <c r="B4" s="1" t="s">
        <v>169</v>
      </c>
      <c r="C4" s="161">
        <v>4</v>
      </c>
      <c r="D4" s="131" t="s">
        <v>170</v>
      </c>
      <c r="E4" s="132" t="s">
        <v>171</v>
      </c>
      <c r="F4" s="162">
        <f>+IF(C4=1,12,C4-1)</f>
        <v>3</v>
      </c>
      <c r="G4" s="116" t="s">
        <v>170</v>
      </c>
    </row>
    <row r="5" spans="1:7" ht="24" customHeight="1">
      <c r="B5" s="1" t="s">
        <v>174</v>
      </c>
      <c r="C5" s="161">
        <v>2016</v>
      </c>
      <c r="D5" s="131" t="s">
        <v>37</v>
      </c>
      <c r="E5" s="162">
        <v>4</v>
      </c>
      <c r="F5" s="116" t="s">
        <v>170</v>
      </c>
      <c r="G5" s="127"/>
    </row>
    <row r="6" spans="1:7" ht="24" customHeight="1">
      <c r="B6" s="1" t="s">
        <v>172</v>
      </c>
      <c r="C6" s="126">
        <f>+IF(E5&gt;F4,F4+13-E5,F4-E5+1)</f>
        <v>12</v>
      </c>
      <c r="D6" s="116" t="s">
        <v>173</v>
      </c>
      <c r="E6" s="128"/>
      <c r="F6" s="129"/>
      <c r="G6" s="130"/>
    </row>
    <row r="8" spans="1:7" ht="24" customHeight="1">
      <c r="B8" s="1" t="s">
        <v>179</v>
      </c>
      <c r="C8" s="189" t="s">
        <v>180</v>
      </c>
      <c r="D8" s="190"/>
      <c r="E8" s="190"/>
      <c r="F8" s="190"/>
      <c r="G8" s="191"/>
    </row>
  </sheetData>
  <mergeCells count="3">
    <mergeCell ref="C8:G8"/>
    <mergeCell ref="A1:B1"/>
    <mergeCell ref="A2:B3"/>
  </mergeCells>
  <phoneticPr fontId="2"/>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7"/>
  <sheetViews>
    <sheetView showGridLines="0" zoomScaleNormal="100" zoomScaleSheetLayoutView="100" workbookViewId="0">
      <selection activeCell="AO17" sqref="AO17"/>
    </sheetView>
  </sheetViews>
  <sheetFormatPr defaultColWidth="3.125" defaultRowHeight="15" customHeight="1"/>
  <cols>
    <col min="1" max="44" width="3.25" style="12" customWidth="1"/>
    <col min="45" max="16384" width="3.125" style="12"/>
  </cols>
  <sheetData>
    <row r="1" spans="1:44" ht="15" customHeight="1">
      <c r="A1" s="209" t="s">
        <v>46</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row>
    <row r="2" spans="1:44" ht="15" customHeight="1">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row>
    <row r="3" spans="1:44" ht="15" customHeight="1">
      <c r="A3" s="197" t="s">
        <v>52</v>
      </c>
      <c r="B3" s="197"/>
      <c r="C3" s="197"/>
      <c r="D3" s="197" t="s">
        <v>53</v>
      </c>
      <c r="E3" s="197"/>
      <c r="F3" s="197"/>
      <c r="G3" s="197" t="s">
        <v>47</v>
      </c>
      <c r="H3" s="197"/>
      <c r="I3" s="197"/>
      <c r="J3" s="197"/>
      <c r="K3" s="197"/>
      <c r="L3" s="197"/>
      <c r="M3" s="197"/>
      <c r="N3" s="197"/>
      <c r="O3" s="197" t="s">
        <v>48</v>
      </c>
      <c r="P3" s="197"/>
      <c r="Q3" s="197"/>
      <c r="R3" s="197"/>
      <c r="S3" s="197"/>
      <c r="T3" s="197"/>
      <c r="U3" s="197" t="s">
        <v>49</v>
      </c>
      <c r="V3" s="197"/>
      <c r="W3" s="197"/>
      <c r="X3" s="197"/>
      <c r="Y3" s="197" t="s">
        <v>50</v>
      </c>
      <c r="Z3" s="197"/>
      <c r="AA3" s="197"/>
      <c r="AB3" s="197"/>
      <c r="AC3" s="197"/>
      <c r="AD3" s="197"/>
      <c r="AE3" s="197"/>
      <c r="AF3" s="197"/>
      <c r="AG3" s="197"/>
      <c r="AH3" s="197"/>
      <c r="AI3" s="197" t="s">
        <v>51</v>
      </c>
      <c r="AJ3" s="197"/>
      <c r="AK3" s="197"/>
      <c r="AL3" s="197"/>
      <c r="AM3" s="197"/>
      <c r="AN3" s="197"/>
      <c r="AO3" s="197"/>
      <c r="AP3" s="197"/>
      <c r="AQ3" s="197"/>
      <c r="AR3" s="197"/>
    </row>
    <row r="4" spans="1:44" ht="15" customHeight="1">
      <c r="A4" s="194" t="s">
        <v>122</v>
      </c>
      <c r="B4" s="195"/>
      <c r="C4" s="196"/>
      <c r="D4" s="194" t="s">
        <v>123</v>
      </c>
      <c r="E4" s="195"/>
      <c r="F4" s="196"/>
      <c r="G4" s="194" t="s">
        <v>124</v>
      </c>
      <c r="H4" s="195"/>
      <c r="I4" s="195"/>
      <c r="J4" s="195"/>
      <c r="K4" s="195"/>
      <c r="L4" s="195"/>
      <c r="M4" s="195"/>
      <c r="N4" s="196"/>
      <c r="O4" s="194" t="s">
        <v>125</v>
      </c>
      <c r="P4" s="195"/>
      <c r="Q4" s="195"/>
      <c r="R4" s="195"/>
      <c r="S4" s="195"/>
      <c r="T4" s="196"/>
      <c r="U4" s="194" t="s">
        <v>126</v>
      </c>
      <c r="V4" s="195"/>
      <c r="W4" s="195"/>
      <c r="X4" s="196"/>
      <c r="Y4" s="194"/>
      <c r="Z4" s="195"/>
      <c r="AA4" s="195"/>
      <c r="AB4" s="195"/>
      <c r="AC4" s="195"/>
      <c r="AD4" s="195"/>
      <c r="AE4" s="195"/>
      <c r="AF4" s="195"/>
      <c r="AG4" s="195"/>
      <c r="AH4" s="196"/>
      <c r="AI4" s="194"/>
      <c r="AJ4" s="195"/>
      <c r="AK4" s="195"/>
      <c r="AL4" s="195"/>
      <c r="AM4" s="195"/>
      <c r="AN4" s="195"/>
      <c r="AO4" s="195"/>
      <c r="AP4" s="195"/>
      <c r="AQ4" s="195"/>
      <c r="AR4" s="196"/>
    </row>
    <row r="5" spans="1:44" ht="15" customHeight="1">
      <c r="A5" s="194"/>
      <c r="B5" s="195"/>
      <c r="C5" s="196"/>
      <c r="D5" s="194"/>
      <c r="E5" s="195"/>
      <c r="F5" s="196"/>
      <c r="G5" s="194"/>
      <c r="H5" s="195"/>
      <c r="I5" s="195"/>
      <c r="J5" s="195"/>
      <c r="K5" s="195"/>
      <c r="L5" s="195"/>
      <c r="M5" s="195"/>
      <c r="N5" s="196"/>
      <c r="O5" s="194"/>
      <c r="P5" s="195"/>
      <c r="Q5" s="195"/>
      <c r="R5" s="195"/>
      <c r="S5" s="195"/>
      <c r="T5" s="196"/>
      <c r="U5" s="194"/>
      <c r="V5" s="195"/>
      <c r="W5" s="195"/>
      <c r="X5" s="196"/>
      <c r="Y5" s="194"/>
      <c r="Z5" s="195"/>
      <c r="AA5" s="195"/>
      <c r="AB5" s="195"/>
      <c r="AC5" s="195"/>
      <c r="AD5" s="195"/>
      <c r="AE5" s="195"/>
      <c r="AF5" s="195"/>
      <c r="AG5" s="195"/>
      <c r="AH5" s="196"/>
      <c r="AI5" s="194"/>
      <c r="AJ5" s="195"/>
      <c r="AK5" s="195"/>
      <c r="AL5" s="195"/>
      <c r="AM5" s="195"/>
      <c r="AN5" s="195"/>
      <c r="AO5" s="195"/>
      <c r="AP5" s="195"/>
      <c r="AQ5" s="195"/>
      <c r="AR5" s="196"/>
    </row>
    <row r="6" spans="1:44" ht="15" customHeight="1">
      <c r="A6" s="194"/>
      <c r="B6" s="195"/>
      <c r="C6" s="196"/>
      <c r="D6" s="194"/>
      <c r="E6" s="195"/>
      <c r="F6" s="196"/>
      <c r="G6" s="194"/>
      <c r="H6" s="195"/>
      <c r="I6" s="195"/>
      <c r="J6" s="195"/>
      <c r="K6" s="195"/>
      <c r="L6" s="195"/>
      <c r="M6" s="195"/>
      <c r="N6" s="196"/>
      <c r="O6" s="194"/>
      <c r="P6" s="195"/>
      <c r="Q6" s="195"/>
      <c r="R6" s="195"/>
      <c r="S6" s="195"/>
      <c r="T6" s="196"/>
      <c r="U6" s="194"/>
      <c r="V6" s="195"/>
      <c r="W6" s="195"/>
      <c r="X6" s="196"/>
      <c r="Y6" s="194"/>
      <c r="Z6" s="195"/>
      <c r="AA6" s="195"/>
      <c r="AB6" s="195"/>
      <c r="AC6" s="195"/>
      <c r="AD6" s="195"/>
      <c r="AE6" s="195"/>
      <c r="AF6" s="195"/>
      <c r="AG6" s="195"/>
      <c r="AH6" s="196"/>
      <c r="AI6" s="194"/>
      <c r="AJ6" s="195"/>
      <c r="AK6" s="195"/>
      <c r="AL6" s="195"/>
      <c r="AM6" s="195"/>
      <c r="AN6" s="195"/>
      <c r="AO6" s="195"/>
      <c r="AP6" s="195"/>
      <c r="AQ6" s="195"/>
      <c r="AR6" s="196"/>
    </row>
    <row r="7" spans="1:44" ht="15" customHeight="1">
      <c r="A7" s="194"/>
      <c r="B7" s="195"/>
      <c r="C7" s="196"/>
      <c r="D7" s="194"/>
      <c r="E7" s="195"/>
      <c r="F7" s="196"/>
      <c r="G7" s="194"/>
      <c r="H7" s="195"/>
      <c r="I7" s="195"/>
      <c r="J7" s="195"/>
      <c r="K7" s="195"/>
      <c r="L7" s="195"/>
      <c r="M7" s="195"/>
      <c r="N7" s="196"/>
      <c r="O7" s="194"/>
      <c r="P7" s="195"/>
      <c r="Q7" s="195"/>
      <c r="R7" s="195"/>
      <c r="S7" s="195"/>
      <c r="T7" s="196"/>
      <c r="U7" s="194"/>
      <c r="V7" s="195"/>
      <c r="W7" s="195"/>
      <c r="X7" s="196"/>
      <c r="Y7" s="194"/>
      <c r="Z7" s="195"/>
      <c r="AA7" s="195"/>
      <c r="AB7" s="195"/>
      <c r="AC7" s="195"/>
      <c r="AD7" s="195"/>
      <c r="AE7" s="195"/>
      <c r="AF7" s="195"/>
      <c r="AG7" s="195"/>
      <c r="AH7" s="196"/>
      <c r="AI7" s="194"/>
      <c r="AJ7" s="195"/>
      <c r="AK7" s="195"/>
      <c r="AL7" s="195"/>
      <c r="AM7" s="195"/>
      <c r="AN7" s="195"/>
      <c r="AO7" s="195"/>
      <c r="AP7" s="195"/>
      <c r="AQ7" s="195"/>
      <c r="AR7" s="196"/>
    </row>
    <row r="8" spans="1:44" ht="15" customHeight="1">
      <c r="A8" s="194"/>
      <c r="B8" s="195"/>
      <c r="C8" s="196"/>
      <c r="D8" s="194"/>
      <c r="E8" s="195"/>
      <c r="F8" s="196"/>
      <c r="G8" s="194"/>
      <c r="H8" s="195"/>
      <c r="I8" s="195"/>
      <c r="J8" s="195"/>
      <c r="K8" s="195"/>
      <c r="L8" s="195"/>
      <c r="M8" s="195"/>
      <c r="N8" s="196"/>
      <c r="O8" s="194"/>
      <c r="P8" s="195"/>
      <c r="Q8" s="195"/>
      <c r="R8" s="195"/>
      <c r="S8" s="195"/>
      <c r="T8" s="196"/>
      <c r="U8" s="194"/>
      <c r="V8" s="195"/>
      <c r="W8" s="195"/>
      <c r="X8" s="196"/>
      <c r="Y8" s="194"/>
      <c r="Z8" s="195"/>
      <c r="AA8" s="195"/>
      <c r="AB8" s="195"/>
      <c r="AC8" s="195"/>
      <c r="AD8" s="195"/>
      <c r="AE8" s="195"/>
      <c r="AF8" s="195"/>
      <c r="AG8" s="195"/>
      <c r="AH8" s="196"/>
      <c r="AI8" s="194"/>
      <c r="AJ8" s="195"/>
      <c r="AK8" s="195"/>
      <c r="AL8" s="195"/>
      <c r="AM8" s="195"/>
      <c r="AN8" s="195"/>
      <c r="AO8" s="195"/>
      <c r="AP8" s="195"/>
      <c r="AQ8" s="195"/>
      <c r="AR8" s="196"/>
    </row>
    <row r="9" spans="1:44" ht="15" customHeight="1">
      <c r="A9" s="194"/>
      <c r="B9" s="195"/>
      <c r="C9" s="196"/>
      <c r="D9" s="194"/>
      <c r="E9" s="195"/>
      <c r="F9" s="196"/>
      <c r="G9" s="194"/>
      <c r="H9" s="195"/>
      <c r="I9" s="195"/>
      <c r="J9" s="195"/>
      <c r="K9" s="195"/>
      <c r="L9" s="195"/>
      <c r="M9" s="195"/>
      <c r="N9" s="196"/>
      <c r="O9" s="194"/>
      <c r="P9" s="195"/>
      <c r="Q9" s="195"/>
      <c r="R9" s="195"/>
      <c r="S9" s="195"/>
      <c r="T9" s="196"/>
      <c r="U9" s="194"/>
      <c r="V9" s="195"/>
      <c r="W9" s="195"/>
      <c r="X9" s="196"/>
      <c r="Y9" s="194"/>
      <c r="Z9" s="195"/>
      <c r="AA9" s="195"/>
      <c r="AB9" s="195"/>
      <c r="AC9" s="195"/>
      <c r="AD9" s="195"/>
      <c r="AE9" s="195"/>
      <c r="AF9" s="195"/>
      <c r="AG9" s="195"/>
      <c r="AH9" s="196"/>
      <c r="AI9" s="194"/>
      <c r="AJ9" s="195"/>
      <c r="AK9" s="195"/>
      <c r="AL9" s="195"/>
      <c r="AM9" s="195"/>
      <c r="AN9" s="195"/>
      <c r="AO9" s="195"/>
      <c r="AP9" s="195"/>
      <c r="AQ9" s="195"/>
      <c r="AR9" s="196"/>
    </row>
    <row r="10" spans="1:44" ht="15" customHeight="1">
      <c r="A10" s="194"/>
      <c r="B10" s="195"/>
      <c r="C10" s="196"/>
      <c r="D10" s="194"/>
      <c r="E10" s="195"/>
      <c r="F10" s="196"/>
      <c r="G10" s="194"/>
      <c r="H10" s="195"/>
      <c r="I10" s="195"/>
      <c r="J10" s="195"/>
      <c r="K10" s="195"/>
      <c r="L10" s="195"/>
      <c r="M10" s="195"/>
      <c r="N10" s="196"/>
      <c r="O10" s="194"/>
      <c r="P10" s="195"/>
      <c r="Q10" s="195"/>
      <c r="R10" s="195"/>
      <c r="S10" s="195"/>
      <c r="T10" s="196"/>
      <c r="U10" s="194"/>
      <c r="V10" s="195"/>
      <c r="W10" s="195"/>
      <c r="X10" s="196"/>
      <c r="Y10" s="194"/>
      <c r="Z10" s="195"/>
      <c r="AA10" s="195"/>
      <c r="AB10" s="195"/>
      <c r="AC10" s="195"/>
      <c r="AD10" s="195"/>
      <c r="AE10" s="195"/>
      <c r="AF10" s="195"/>
      <c r="AG10" s="195"/>
      <c r="AH10" s="196"/>
      <c r="AI10" s="194"/>
      <c r="AJ10" s="195"/>
      <c r="AK10" s="195"/>
      <c r="AL10" s="195"/>
      <c r="AM10" s="195"/>
      <c r="AN10" s="195"/>
      <c r="AO10" s="195"/>
      <c r="AP10" s="195"/>
      <c r="AQ10" s="195"/>
      <c r="AR10" s="196"/>
    </row>
    <row r="11" spans="1:44" ht="15" customHeight="1">
      <c r="A11" s="194"/>
      <c r="B11" s="195"/>
      <c r="C11" s="196"/>
      <c r="D11" s="194"/>
      <c r="E11" s="195"/>
      <c r="F11" s="196"/>
      <c r="G11" s="194"/>
      <c r="H11" s="195"/>
      <c r="I11" s="195"/>
      <c r="J11" s="195"/>
      <c r="K11" s="195"/>
      <c r="L11" s="195"/>
      <c r="M11" s="195"/>
      <c r="N11" s="196"/>
      <c r="O11" s="194"/>
      <c r="P11" s="195"/>
      <c r="Q11" s="195"/>
      <c r="R11" s="195"/>
      <c r="S11" s="195"/>
      <c r="T11" s="196"/>
      <c r="U11" s="194"/>
      <c r="V11" s="195"/>
      <c r="W11" s="195"/>
      <c r="X11" s="196"/>
      <c r="Y11" s="194"/>
      <c r="Z11" s="195"/>
      <c r="AA11" s="195"/>
      <c r="AB11" s="195"/>
      <c r="AC11" s="195"/>
      <c r="AD11" s="195"/>
      <c r="AE11" s="195"/>
      <c r="AF11" s="195"/>
      <c r="AG11" s="195"/>
      <c r="AH11" s="196"/>
      <c r="AI11" s="194"/>
      <c r="AJ11" s="195"/>
      <c r="AK11" s="195"/>
      <c r="AL11" s="195"/>
      <c r="AM11" s="195"/>
      <c r="AN11" s="195"/>
      <c r="AO11" s="195"/>
      <c r="AP11" s="195"/>
      <c r="AQ11" s="195"/>
      <c r="AR11" s="196"/>
    </row>
    <row r="12" spans="1:44" ht="15" customHeight="1">
      <c r="A12" s="194"/>
      <c r="B12" s="195"/>
      <c r="C12" s="196"/>
      <c r="D12" s="194"/>
      <c r="E12" s="195"/>
      <c r="F12" s="196"/>
      <c r="G12" s="194"/>
      <c r="H12" s="195"/>
      <c r="I12" s="195"/>
      <c r="J12" s="195"/>
      <c r="K12" s="195"/>
      <c r="L12" s="195"/>
      <c r="M12" s="195"/>
      <c r="N12" s="196"/>
      <c r="O12" s="194"/>
      <c r="P12" s="195"/>
      <c r="Q12" s="195"/>
      <c r="R12" s="195"/>
      <c r="S12" s="195"/>
      <c r="T12" s="196"/>
      <c r="U12" s="194"/>
      <c r="V12" s="195"/>
      <c r="W12" s="195"/>
      <c r="X12" s="196"/>
      <c r="Y12" s="194"/>
      <c r="Z12" s="195"/>
      <c r="AA12" s="195"/>
      <c r="AB12" s="195"/>
      <c r="AC12" s="195"/>
      <c r="AD12" s="195"/>
      <c r="AE12" s="195"/>
      <c r="AF12" s="195"/>
      <c r="AG12" s="195"/>
      <c r="AH12" s="196"/>
      <c r="AI12" s="194"/>
      <c r="AJ12" s="195"/>
      <c r="AK12" s="195"/>
      <c r="AL12" s="195"/>
      <c r="AM12" s="195"/>
      <c r="AN12" s="195"/>
      <c r="AO12" s="195"/>
      <c r="AP12" s="195"/>
      <c r="AQ12" s="195"/>
      <c r="AR12" s="196"/>
    </row>
    <row r="15" spans="1:44" ht="15" customHeight="1">
      <c r="A15" s="209" t="s">
        <v>56</v>
      </c>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row>
    <row r="16" spans="1:44" ht="15" customHeight="1">
      <c r="A16" s="209"/>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row>
    <row r="17" spans="1:44" ht="15" customHeight="1">
      <c r="A17" s="210" t="s">
        <v>57</v>
      </c>
      <c r="B17" s="211"/>
      <c r="C17" s="211"/>
      <c r="D17" s="211"/>
      <c r="E17" s="211"/>
      <c r="F17" s="212"/>
      <c r="G17" s="210" t="s">
        <v>54</v>
      </c>
      <c r="H17" s="211"/>
      <c r="I17" s="211"/>
      <c r="J17" s="211"/>
      <c r="K17" s="211"/>
      <c r="L17" s="212"/>
      <c r="M17" s="210" t="s">
        <v>58</v>
      </c>
      <c r="N17" s="211"/>
      <c r="O17" s="211"/>
      <c r="P17" s="211"/>
      <c r="Q17" s="211"/>
      <c r="R17" s="212"/>
    </row>
    <row r="18" spans="1:44" ht="15" customHeight="1">
      <c r="A18" s="213"/>
      <c r="B18" s="214"/>
      <c r="C18" s="214"/>
      <c r="D18" s="214"/>
      <c r="E18" s="214"/>
      <c r="F18" s="215"/>
      <c r="G18" s="213"/>
      <c r="H18" s="214"/>
      <c r="I18" s="214"/>
      <c r="J18" s="214"/>
      <c r="K18" s="214"/>
      <c r="L18" s="215"/>
      <c r="M18" s="213"/>
      <c r="N18" s="214"/>
      <c r="O18" s="214"/>
      <c r="P18" s="214"/>
      <c r="Q18" s="214"/>
      <c r="R18" s="215"/>
    </row>
    <row r="19" spans="1:44" ht="15" customHeight="1">
      <c r="A19" s="216">
        <v>1</v>
      </c>
      <c r="B19" s="217"/>
      <c r="C19" s="217"/>
      <c r="D19" s="217"/>
      <c r="E19" s="217"/>
      <c r="F19" s="13" t="s">
        <v>55</v>
      </c>
      <c r="G19" s="216" t="s">
        <v>127</v>
      </c>
      <c r="H19" s="217"/>
      <c r="I19" s="217"/>
      <c r="J19" s="217"/>
      <c r="K19" s="217"/>
      <c r="L19" s="218"/>
      <c r="M19" s="216" t="s">
        <v>127</v>
      </c>
      <c r="N19" s="217"/>
      <c r="O19" s="217"/>
      <c r="P19" s="217"/>
      <c r="Q19" s="217"/>
      <c r="R19" s="218"/>
      <c r="U19"/>
      <c r="V19"/>
      <c r="W19"/>
      <c r="X19"/>
      <c r="Y19"/>
      <c r="Z19"/>
      <c r="AA19"/>
      <c r="AB19"/>
      <c r="AC19"/>
      <c r="AD19"/>
    </row>
    <row r="20" spans="1:44" ht="15" customHeight="1">
      <c r="U20"/>
      <c r="V20"/>
      <c r="W20"/>
      <c r="X20"/>
      <c r="Y20"/>
      <c r="Z20"/>
      <c r="AA20"/>
      <c r="AB20"/>
      <c r="AC20"/>
      <c r="AD20"/>
    </row>
    <row r="21" spans="1:44" ht="15" customHeight="1">
      <c r="U21"/>
      <c r="V21"/>
      <c r="W21"/>
      <c r="X21"/>
      <c r="Y21"/>
      <c r="Z21"/>
      <c r="AA21"/>
      <c r="AB21"/>
      <c r="AC21"/>
      <c r="AD21"/>
    </row>
    <row r="22" spans="1:44" ht="15" customHeight="1">
      <c r="A22" s="198" t="s">
        <v>59</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row>
    <row r="23" spans="1:44" ht="15" customHeight="1">
      <c r="A23" s="198"/>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row>
    <row r="24" spans="1:44" ht="15" customHeight="1">
      <c r="A24" s="199" t="s">
        <v>60</v>
      </c>
      <c r="B24" s="200"/>
      <c r="C24" s="200"/>
      <c r="D24" s="200"/>
      <c r="E24" s="200"/>
      <c r="F24" s="201"/>
      <c r="G24"/>
      <c r="H24"/>
      <c r="I24"/>
      <c r="J24"/>
      <c r="K24"/>
      <c r="L24"/>
      <c r="M24"/>
      <c r="N24"/>
      <c r="O24"/>
      <c r="P24"/>
      <c r="Q24"/>
      <c r="R24"/>
      <c r="S24"/>
      <c r="T24"/>
      <c r="U24"/>
      <c r="V24"/>
      <c r="W24"/>
      <c r="X24"/>
      <c r="Y24"/>
      <c r="Z24"/>
      <c r="AA24"/>
      <c r="AB24"/>
      <c r="AC24"/>
      <c r="AD24"/>
    </row>
    <row r="25" spans="1:44" ht="15" customHeight="1">
      <c r="A25" s="202"/>
      <c r="B25" s="203"/>
      <c r="C25" s="203"/>
      <c r="D25" s="203"/>
      <c r="E25" s="203"/>
      <c r="F25" s="204"/>
      <c r="G25"/>
      <c r="H25"/>
      <c r="I25"/>
      <c r="J25"/>
      <c r="K25"/>
      <c r="L25"/>
      <c r="M25"/>
      <c r="N25"/>
      <c r="O25"/>
      <c r="P25"/>
      <c r="Q25"/>
      <c r="R25"/>
      <c r="S25"/>
      <c r="T25"/>
      <c r="U25"/>
      <c r="V25"/>
      <c r="W25"/>
      <c r="X25"/>
      <c r="Y25"/>
      <c r="Z25"/>
      <c r="AA25"/>
      <c r="AB25"/>
      <c r="AC25"/>
      <c r="AD25"/>
    </row>
    <row r="26" spans="1:44" ht="15" customHeight="1">
      <c r="A26" s="207">
        <v>60</v>
      </c>
      <c r="B26" s="208"/>
      <c r="C26" s="208"/>
      <c r="D26" s="208"/>
      <c r="E26" s="205" t="s">
        <v>61</v>
      </c>
      <c r="F26" s="206"/>
      <c r="G26"/>
      <c r="H26"/>
      <c r="I26"/>
      <c r="J26"/>
      <c r="K26"/>
      <c r="L26"/>
      <c r="M26"/>
      <c r="N26"/>
      <c r="O26"/>
      <c r="P26"/>
      <c r="Q26"/>
      <c r="R26"/>
      <c r="S26"/>
      <c r="T26"/>
      <c r="U26"/>
      <c r="V26"/>
      <c r="W26"/>
      <c r="X26"/>
      <c r="Y26"/>
      <c r="Z26"/>
      <c r="AA26"/>
      <c r="AB26"/>
      <c r="AC26"/>
      <c r="AD26"/>
    </row>
    <row r="27" spans="1:44" ht="15" customHeight="1">
      <c r="C27"/>
      <c r="D27"/>
      <c r="E27"/>
      <c r="F27"/>
      <c r="G27"/>
      <c r="H27"/>
      <c r="I27"/>
      <c r="J27"/>
      <c r="K27"/>
      <c r="L27"/>
      <c r="M27"/>
      <c r="N27"/>
      <c r="O27"/>
      <c r="P27"/>
      <c r="Q27"/>
      <c r="R27"/>
      <c r="S27"/>
      <c r="T27"/>
      <c r="U27"/>
      <c r="V27"/>
      <c r="W27"/>
      <c r="X27"/>
      <c r="Y27"/>
      <c r="Z27"/>
      <c r="AA27"/>
      <c r="AB27"/>
      <c r="AC27"/>
      <c r="AD27"/>
    </row>
  </sheetData>
  <mergeCells count="82">
    <mergeCell ref="A22:AR23"/>
    <mergeCell ref="A24:F25"/>
    <mergeCell ref="E26:F26"/>
    <mergeCell ref="A26:D26"/>
    <mergeCell ref="A1:AR2"/>
    <mergeCell ref="A15:AR16"/>
    <mergeCell ref="A17:F18"/>
    <mergeCell ref="A19:E19"/>
    <mergeCell ref="G17:L18"/>
    <mergeCell ref="G19:L19"/>
    <mergeCell ref="M17:R18"/>
    <mergeCell ref="M19:R19"/>
    <mergeCell ref="AI9:AR9"/>
    <mergeCell ref="AI10:AR10"/>
    <mergeCell ref="AI11:AR11"/>
    <mergeCell ref="AI12:AR12"/>
    <mergeCell ref="AI3:AR3"/>
    <mergeCell ref="Y8:AH8"/>
    <mergeCell ref="Y9:AH9"/>
    <mergeCell ref="Y10:AH10"/>
    <mergeCell ref="Y11:AH11"/>
    <mergeCell ref="Y3:AH3"/>
    <mergeCell ref="Y12:AH12"/>
    <mergeCell ref="AI4:AR4"/>
    <mergeCell ref="AI5:AR5"/>
    <mergeCell ref="AI6:AR6"/>
    <mergeCell ref="AI7:AR7"/>
    <mergeCell ref="AI8:AR8"/>
    <mergeCell ref="Y4:AH4"/>
    <mergeCell ref="Y5:AH5"/>
    <mergeCell ref="Y6:AH6"/>
    <mergeCell ref="Y7:AH7"/>
    <mergeCell ref="U8:X8"/>
    <mergeCell ref="U9:X9"/>
    <mergeCell ref="U10:X10"/>
    <mergeCell ref="U11:X11"/>
    <mergeCell ref="U12:X12"/>
    <mergeCell ref="U3:X3"/>
    <mergeCell ref="U4:X4"/>
    <mergeCell ref="U5:X5"/>
    <mergeCell ref="U6:X6"/>
    <mergeCell ref="U7:X7"/>
    <mergeCell ref="G10:N10"/>
    <mergeCell ref="G11:N11"/>
    <mergeCell ref="G12:N12"/>
    <mergeCell ref="O3:T3"/>
    <mergeCell ref="O4:T4"/>
    <mergeCell ref="O5:T5"/>
    <mergeCell ref="O6:T6"/>
    <mergeCell ref="O7:T7"/>
    <mergeCell ref="O8:T8"/>
    <mergeCell ref="O9:T9"/>
    <mergeCell ref="O10:T10"/>
    <mergeCell ref="O11:T11"/>
    <mergeCell ref="O12:T12"/>
    <mergeCell ref="D9:F9"/>
    <mergeCell ref="D10:F10"/>
    <mergeCell ref="D11:F11"/>
    <mergeCell ref="D12:F12"/>
    <mergeCell ref="G3:N3"/>
    <mergeCell ref="G4:N4"/>
    <mergeCell ref="G5:N5"/>
    <mergeCell ref="G6:N6"/>
    <mergeCell ref="G7:N7"/>
    <mergeCell ref="G8:N8"/>
    <mergeCell ref="D4:F4"/>
    <mergeCell ref="D5:F5"/>
    <mergeCell ref="D6:F6"/>
    <mergeCell ref="D7:F7"/>
    <mergeCell ref="D8:F8"/>
    <mergeCell ref="G9:N9"/>
    <mergeCell ref="A8:C8"/>
    <mergeCell ref="A9:C9"/>
    <mergeCell ref="A10:C10"/>
    <mergeCell ref="A11:C11"/>
    <mergeCell ref="A12:C12"/>
    <mergeCell ref="A7:C7"/>
    <mergeCell ref="A3:C3"/>
    <mergeCell ref="D3:F3"/>
    <mergeCell ref="A4:C4"/>
    <mergeCell ref="A5:C5"/>
    <mergeCell ref="A6:C6"/>
  </mergeCells>
  <phoneticPr fontId="2"/>
  <conditionalFormatting sqref="G19">
    <cfRule type="expression" dxfId="42" priority="8">
      <formula>$G$19=""</formula>
    </cfRule>
  </conditionalFormatting>
  <conditionalFormatting sqref="M19">
    <cfRule type="expression" dxfId="41" priority="7">
      <formula>AND($G$19="有",$M$19="")</formula>
    </cfRule>
  </conditionalFormatting>
  <conditionalFormatting sqref="A19">
    <cfRule type="expression" dxfId="40" priority="6">
      <formula>$A$19=""</formula>
    </cfRule>
  </conditionalFormatting>
  <conditionalFormatting sqref="A26">
    <cfRule type="expression" dxfId="39" priority="4">
      <formula>AND($G$19="有",$A$26="")</formula>
    </cfRule>
  </conditionalFormatting>
  <conditionalFormatting sqref="A22:AR23">
    <cfRule type="expression" dxfId="38" priority="3">
      <formula>$G$19="有"</formula>
    </cfRule>
  </conditionalFormatting>
  <conditionalFormatting sqref="A24:F25">
    <cfRule type="expression" dxfId="37" priority="2">
      <formula>$G$19="有"</formula>
    </cfRule>
  </conditionalFormatting>
  <conditionalFormatting sqref="A26:F26">
    <cfRule type="expression" dxfId="36" priority="1">
      <formula>$G$19="有"</formula>
    </cfRule>
  </conditionalFormatting>
  <dataValidations count="2">
    <dataValidation type="list" errorStyle="information" allowBlank="1" showInputMessage="1" showErrorMessage="1" sqref="M19 G19">
      <formula1>"有,無"</formula1>
    </dataValidation>
    <dataValidation type="list" errorStyle="information" allowBlank="1" showInputMessage="1" showErrorMessage="1" sqref="A19">
      <formula1>"0,1,2,3,4,5,6,7,8,9,10"</formula1>
    </dataValidation>
  </dataValidations>
  <pageMargins left="0.70866141732283472" right="0.70866141732283472" top="0.74803149606299213" bottom="0.74803149606299213" header="0.31496062992125984" footer="0.31496062992125984"/>
  <pageSetup paperSize="9" scale="90"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K117"/>
  <sheetViews>
    <sheetView showGridLines="0" zoomScaleNormal="100" zoomScaleSheetLayoutView="100" workbookViewId="0">
      <selection activeCell="B14" sqref="B14"/>
    </sheetView>
  </sheetViews>
  <sheetFormatPr defaultColWidth="9" defaultRowHeight="13.5"/>
  <cols>
    <col min="1" max="1" width="2.625" style="6" customWidth="1"/>
    <col min="2" max="13" width="16" style="6" customWidth="1"/>
    <col min="14" max="15" width="16" customWidth="1"/>
    <col min="16" max="17" width="9" style="6"/>
    <col min="18" max="18" width="17.25" style="6" customWidth="1"/>
    <col min="19" max="20" width="11.375" style="6" customWidth="1"/>
    <col min="21" max="16384" width="9" style="6"/>
  </cols>
  <sheetData>
    <row r="2" spans="1:15" ht="18.75">
      <c r="A2" s="5" t="s">
        <v>22</v>
      </c>
    </row>
    <row r="3" spans="1:15">
      <c r="A3" s="3"/>
      <c r="B3" s="3"/>
      <c r="C3" s="3"/>
      <c r="D3" s="3"/>
      <c r="E3" s="3"/>
      <c r="F3" s="3"/>
      <c r="G3" s="3"/>
      <c r="H3" s="3"/>
      <c r="I3" s="3"/>
      <c r="J3" s="3"/>
      <c r="K3" s="3"/>
    </row>
    <row r="4" spans="1:15" ht="17.25">
      <c r="A4" s="18" t="s">
        <v>65</v>
      </c>
      <c r="B4" s="3"/>
      <c r="C4" s="3"/>
      <c r="D4" s="3"/>
      <c r="E4" s="3"/>
      <c r="F4" s="3"/>
      <c r="N4" s="6"/>
      <c r="O4" s="6"/>
    </row>
    <row r="5" spans="1:15" customFormat="1">
      <c r="G5" s="6"/>
      <c r="H5" s="6"/>
      <c r="I5" s="6"/>
      <c r="J5" s="6"/>
      <c r="K5" s="6"/>
      <c r="L5" s="6"/>
    </row>
    <row r="6" spans="1:15" customFormat="1">
      <c r="B6" t="s">
        <v>91</v>
      </c>
      <c r="G6" s="3" t="s">
        <v>92</v>
      </c>
      <c r="H6" s="3"/>
      <c r="I6" s="3"/>
      <c r="J6" s="3"/>
      <c r="K6" s="3"/>
      <c r="L6" s="3"/>
    </row>
    <row r="7" spans="1:15">
      <c r="A7" s="3"/>
      <c r="B7" s="240" t="s">
        <v>62</v>
      </c>
      <c r="C7" s="241"/>
      <c r="D7" s="240" t="s">
        <v>70</v>
      </c>
      <c r="E7" s="241"/>
      <c r="F7" s="3"/>
      <c r="G7" s="146" t="s">
        <v>73</v>
      </c>
      <c r="H7" s="146" t="s">
        <v>74</v>
      </c>
      <c r="I7" s="146" t="s">
        <v>68</v>
      </c>
      <c r="J7" s="245" t="s">
        <v>13</v>
      </c>
      <c r="K7" s="245"/>
      <c r="L7" s="146" t="s">
        <v>12</v>
      </c>
      <c r="N7" s="6"/>
      <c r="O7" s="6"/>
    </row>
    <row r="8" spans="1:15">
      <c r="A8" s="3"/>
      <c r="B8" s="244">
        <f>D8+D10+D12</f>
        <v>25</v>
      </c>
      <c r="C8" s="244"/>
      <c r="D8" s="242">
        <v>25</v>
      </c>
      <c r="E8" s="243"/>
      <c r="G8" s="41" t="s">
        <v>11</v>
      </c>
      <c r="H8" s="148" t="s">
        <v>19</v>
      </c>
      <c r="I8" s="148" t="s">
        <v>79</v>
      </c>
      <c r="J8" s="170">
        <v>0.375</v>
      </c>
      <c r="K8" s="171">
        <v>0.79166666666666663</v>
      </c>
      <c r="L8" s="16">
        <f>IF(J8="－","－",K8-J8)</f>
        <v>0.41666666666666663</v>
      </c>
      <c r="N8" s="6"/>
      <c r="O8" s="6"/>
    </row>
    <row r="9" spans="1:15">
      <c r="A9" s="3"/>
      <c r="B9" s="244"/>
      <c r="C9" s="244"/>
      <c r="D9" s="240" t="s">
        <v>71</v>
      </c>
      <c r="E9" s="241"/>
      <c r="G9" s="41" t="s">
        <v>10</v>
      </c>
      <c r="H9" s="148" t="s">
        <v>113</v>
      </c>
      <c r="I9" s="148" t="s">
        <v>75</v>
      </c>
      <c r="J9" s="170" t="s">
        <v>76</v>
      </c>
      <c r="K9" s="171" t="s">
        <v>77</v>
      </c>
      <c r="L9" s="16" t="str">
        <f t="shared" ref="L9:L14" si="0">IF(J9="－","－",K9-J9)</f>
        <v>－</v>
      </c>
      <c r="N9" s="6"/>
      <c r="O9" s="6"/>
    </row>
    <row r="10" spans="1:15">
      <c r="A10" s="3"/>
      <c r="B10" s="244"/>
      <c r="C10" s="244"/>
      <c r="D10" s="242">
        <v>0</v>
      </c>
      <c r="E10" s="243"/>
      <c r="G10" s="41" t="s">
        <v>9</v>
      </c>
      <c r="H10" s="148" t="s">
        <v>112</v>
      </c>
      <c r="I10" s="148" t="s">
        <v>79</v>
      </c>
      <c r="J10" s="170">
        <v>0.375</v>
      </c>
      <c r="K10" s="171">
        <v>0.79166666666666663</v>
      </c>
      <c r="L10" s="16">
        <f t="shared" si="0"/>
        <v>0.41666666666666663</v>
      </c>
      <c r="N10" s="6"/>
      <c r="O10" s="6"/>
    </row>
    <row r="11" spans="1:15">
      <c r="A11" s="3"/>
      <c r="B11" s="244"/>
      <c r="C11" s="244"/>
      <c r="D11" s="240" t="s">
        <v>72</v>
      </c>
      <c r="E11" s="241"/>
      <c r="G11" s="41" t="s">
        <v>8</v>
      </c>
      <c r="H11" s="148" t="s">
        <v>19</v>
      </c>
      <c r="I11" s="148" t="s">
        <v>79</v>
      </c>
      <c r="J11" s="170">
        <v>0.375</v>
      </c>
      <c r="K11" s="171">
        <v>0.79166666666666663</v>
      </c>
      <c r="L11" s="16">
        <f t="shared" si="0"/>
        <v>0.41666666666666663</v>
      </c>
      <c r="N11" s="6"/>
      <c r="O11" s="6"/>
    </row>
    <row r="12" spans="1:15">
      <c r="A12" s="3"/>
      <c r="B12" s="244"/>
      <c r="C12" s="244"/>
      <c r="D12" s="242">
        <v>0</v>
      </c>
      <c r="E12" s="243"/>
      <c r="G12" s="41" t="s">
        <v>7</v>
      </c>
      <c r="H12" s="148" t="s">
        <v>20</v>
      </c>
      <c r="I12" s="148" t="s">
        <v>79</v>
      </c>
      <c r="J12" s="170">
        <v>0.375</v>
      </c>
      <c r="K12" s="171">
        <v>0.79166666666666663</v>
      </c>
      <c r="L12" s="16">
        <f t="shared" si="0"/>
        <v>0.41666666666666663</v>
      </c>
      <c r="N12" s="6"/>
      <c r="O12" s="6"/>
    </row>
    <row r="13" spans="1:15">
      <c r="A13" s="3"/>
      <c r="G13" s="41" t="s">
        <v>6</v>
      </c>
      <c r="H13" s="148" t="s">
        <v>19</v>
      </c>
      <c r="I13" s="148" t="s">
        <v>78</v>
      </c>
      <c r="J13" s="170">
        <v>0.375</v>
      </c>
      <c r="K13" s="171">
        <v>0.79166666666666663</v>
      </c>
      <c r="L13" s="16">
        <f t="shared" si="0"/>
        <v>0.41666666666666663</v>
      </c>
      <c r="N13" s="6"/>
      <c r="O13" s="6"/>
    </row>
    <row r="14" spans="1:15">
      <c r="A14" s="3"/>
      <c r="G14" s="41" t="s">
        <v>5</v>
      </c>
      <c r="H14" s="148" t="s">
        <v>19</v>
      </c>
      <c r="I14" s="148" t="s">
        <v>78</v>
      </c>
      <c r="J14" s="170">
        <v>0.375</v>
      </c>
      <c r="K14" s="171">
        <v>0.79166666666666663</v>
      </c>
      <c r="L14" s="16">
        <f t="shared" si="0"/>
        <v>0.41666666666666663</v>
      </c>
      <c r="N14" s="6"/>
      <c r="O14" s="6"/>
    </row>
    <row r="15" spans="1:15">
      <c r="A15" s="3"/>
      <c r="H15" s="3"/>
      <c r="K15" s="3"/>
      <c r="N15" s="6"/>
      <c r="O15" s="6"/>
    </row>
    <row r="16" spans="1:15">
      <c r="A16" s="3"/>
      <c r="H16" s="3"/>
      <c r="K16" s="3"/>
      <c r="N16" s="6"/>
      <c r="O16" s="6"/>
    </row>
    <row r="17" spans="1:15">
      <c r="A17" s="3"/>
      <c r="B17" s="3" t="s">
        <v>93</v>
      </c>
      <c r="C17" s="3"/>
      <c r="D17" s="3"/>
      <c r="E17" s="3"/>
      <c r="G17" s="3" t="s">
        <v>63</v>
      </c>
      <c r="H17" s="3"/>
      <c r="K17" s="3"/>
      <c r="N17" s="6"/>
      <c r="O17" s="6"/>
    </row>
    <row r="18" spans="1:15">
      <c r="A18" s="3"/>
      <c r="B18" s="226" t="s">
        <v>82</v>
      </c>
      <c r="C18" s="227"/>
      <c r="D18" s="148" t="s">
        <v>21</v>
      </c>
      <c r="G18" s="146" t="s">
        <v>64</v>
      </c>
      <c r="H18" s="3"/>
      <c r="K18" s="3"/>
      <c r="N18" s="6"/>
      <c r="O18" s="6"/>
    </row>
    <row r="19" spans="1:15">
      <c r="A19" s="3"/>
      <c r="B19" s="239" t="s">
        <v>80</v>
      </c>
      <c r="C19" s="239"/>
      <c r="D19" s="163">
        <v>4320</v>
      </c>
      <c r="G19" s="169">
        <v>4</v>
      </c>
      <c r="K19" s="3"/>
      <c r="N19" s="6"/>
      <c r="O19" s="6"/>
    </row>
    <row r="20" spans="1:15">
      <c r="A20" s="3"/>
      <c r="B20" s="239" t="s">
        <v>94</v>
      </c>
      <c r="C20" s="239"/>
      <c r="D20" s="163">
        <v>5940</v>
      </c>
      <c r="K20" s="3"/>
      <c r="N20" s="6"/>
      <c r="O20" s="6"/>
    </row>
    <row r="21" spans="1:15">
      <c r="A21" s="3"/>
      <c r="B21" s="239" t="s">
        <v>115</v>
      </c>
      <c r="C21" s="239"/>
      <c r="D21" s="163">
        <v>8640</v>
      </c>
      <c r="K21" s="3"/>
      <c r="N21" s="6"/>
      <c r="O21" s="6"/>
    </row>
    <row r="22" spans="1:15">
      <c r="A22" s="3"/>
      <c r="B22" s="239" t="s">
        <v>114</v>
      </c>
      <c r="C22" s="239"/>
      <c r="D22" s="163">
        <v>7560</v>
      </c>
      <c r="K22" s="3"/>
      <c r="N22" s="6"/>
      <c r="O22" s="6"/>
    </row>
    <row r="23" spans="1:15">
      <c r="A23" s="3"/>
      <c r="B23" s="239" t="s">
        <v>81</v>
      </c>
      <c r="C23" s="239"/>
      <c r="D23" s="163">
        <v>12960</v>
      </c>
      <c r="K23" s="3"/>
      <c r="N23" s="6"/>
      <c r="O23" s="6"/>
    </row>
    <row r="24" spans="1:15">
      <c r="A24" s="3"/>
      <c r="B24" s="239" t="s">
        <v>83</v>
      </c>
      <c r="C24" s="239"/>
      <c r="D24" s="163">
        <v>19440</v>
      </c>
      <c r="K24" s="3"/>
      <c r="N24" s="6"/>
      <c r="O24" s="6"/>
    </row>
    <row r="25" spans="1:15">
      <c r="A25" s="3"/>
      <c r="B25" s="239" t="s">
        <v>84</v>
      </c>
      <c r="C25" s="239"/>
      <c r="D25" s="163">
        <v>3240</v>
      </c>
      <c r="K25" s="3"/>
      <c r="N25" s="6"/>
      <c r="O25" s="6"/>
    </row>
    <row r="26" spans="1:15">
      <c r="A26" s="3"/>
      <c r="B26" s="239" t="s">
        <v>85</v>
      </c>
      <c r="C26" s="239"/>
      <c r="D26" s="163">
        <v>2700</v>
      </c>
      <c r="K26" s="3"/>
      <c r="N26" s="6"/>
      <c r="O26" s="6"/>
    </row>
    <row r="27" spans="1:15">
      <c r="A27" s="3"/>
      <c r="B27" s="239" t="s">
        <v>86</v>
      </c>
      <c r="C27" s="239"/>
      <c r="D27" s="163">
        <v>3780</v>
      </c>
      <c r="K27" s="3"/>
      <c r="N27" s="6"/>
      <c r="O27" s="6"/>
    </row>
    <row r="28" spans="1:15">
      <c r="A28" s="3"/>
      <c r="B28" s="239" t="s">
        <v>89</v>
      </c>
      <c r="C28" s="239"/>
      <c r="D28" s="163">
        <v>0</v>
      </c>
      <c r="K28" s="3"/>
      <c r="N28" s="6"/>
      <c r="O28" s="6"/>
    </row>
    <row r="29" spans="1:15">
      <c r="A29" s="3"/>
      <c r="B29" s="239" t="s">
        <v>87</v>
      </c>
      <c r="C29" s="239"/>
      <c r="D29" s="163">
        <v>5940</v>
      </c>
      <c r="K29" s="3"/>
      <c r="N29" s="6"/>
      <c r="O29" s="6"/>
    </row>
    <row r="30" spans="1:15">
      <c r="A30" s="3"/>
      <c r="B30" s="239" t="s">
        <v>88</v>
      </c>
      <c r="C30" s="239"/>
      <c r="D30" s="163">
        <v>7020</v>
      </c>
      <c r="K30" s="3"/>
      <c r="N30" s="6"/>
      <c r="O30" s="6"/>
    </row>
    <row r="31" spans="1:15">
      <c r="A31" s="3"/>
      <c r="B31" s="239" t="s">
        <v>95</v>
      </c>
      <c r="C31" s="239"/>
      <c r="D31" s="163">
        <v>1620</v>
      </c>
      <c r="K31" s="3"/>
      <c r="N31" s="6"/>
      <c r="O31" s="6"/>
    </row>
    <row r="32" spans="1:15">
      <c r="A32" s="3"/>
      <c r="K32" s="3"/>
      <c r="N32" s="6"/>
      <c r="O32" s="6"/>
    </row>
    <row r="33" spans="1:37" ht="17.25">
      <c r="A33" s="18" t="s">
        <v>128</v>
      </c>
      <c r="B33" s="3"/>
      <c r="C33" s="3"/>
      <c r="D33" s="3"/>
      <c r="E33" s="3"/>
      <c r="F33" s="3"/>
      <c r="G33" s="3"/>
      <c r="H33" s="3"/>
      <c r="I33" s="3"/>
      <c r="J33" s="3"/>
      <c r="K33" s="3"/>
      <c r="L33" s="3"/>
      <c r="M33" s="3"/>
      <c r="N33" s="6"/>
      <c r="O33" s="6"/>
    </row>
    <row r="34" spans="1:37">
      <c r="A34" s="3"/>
      <c r="B34" s="3"/>
      <c r="C34" s="11"/>
      <c r="D34" s="3"/>
      <c r="E34" s="3"/>
      <c r="F34" s="3"/>
      <c r="G34" s="3"/>
      <c r="H34" s="3"/>
      <c r="J34" s="3"/>
      <c r="K34" s="3"/>
      <c r="L34" s="3"/>
      <c r="M34" s="3"/>
      <c r="N34" s="3"/>
      <c r="O34" s="6"/>
    </row>
    <row r="35" spans="1:37" s="19" customFormat="1" ht="14.25">
      <c r="A35" s="17"/>
      <c r="B35" s="230" t="s">
        <v>66</v>
      </c>
      <c r="C35" s="230"/>
      <c r="D35" s="230"/>
      <c r="E35" s="230"/>
      <c r="F35" s="230"/>
      <c r="G35" s="230"/>
      <c r="H35" s="147"/>
      <c r="J35" s="230" t="s">
        <v>67</v>
      </c>
      <c r="K35" s="230"/>
      <c r="L35" s="230"/>
      <c r="M35" s="230"/>
      <c r="N35" s="230"/>
      <c r="O35" s="230"/>
    </row>
    <row r="36" spans="1:37" ht="13.5" customHeight="1">
      <c r="A36" s="3"/>
      <c r="B36" s="235" t="str">
        <f>$B$18</f>
        <v>メニュー</v>
      </c>
      <c r="C36" s="236"/>
      <c r="D36" s="146" t="s">
        <v>96</v>
      </c>
      <c r="E36" s="146" t="s">
        <v>18</v>
      </c>
      <c r="F36" s="146" t="s">
        <v>97</v>
      </c>
      <c r="G36" s="146" t="s">
        <v>17</v>
      </c>
      <c r="H36" s="134" t="s">
        <v>198</v>
      </c>
      <c r="J36" s="235" t="str">
        <f>$B$18</f>
        <v>メニュー</v>
      </c>
      <c r="K36" s="236"/>
      <c r="L36" s="146" t="s">
        <v>96</v>
      </c>
      <c r="M36" s="146" t="s">
        <v>18</v>
      </c>
      <c r="N36" s="146" t="s">
        <v>97</v>
      </c>
      <c r="O36" s="146" t="s">
        <v>17</v>
      </c>
      <c r="P36" s="2"/>
      <c r="S36" s="10" t="s">
        <v>193</v>
      </c>
      <c r="T36" s="10" t="s">
        <v>194</v>
      </c>
      <c r="U36" s="10">
        <v>1</v>
      </c>
      <c r="V36" s="10">
        <v>2</v>
      </c>
      <c r="W36" s="10">
        <v>3</v>
      </c>
      <c r="X36" s="10">
        <v>4</v>
      </c>
      <c r="Y36" s="10">
        <v>5</v>
      </c>
      <c r="Z36" s="10">
        <v>6</v>
      </c>
      <c r="AA36" s="10">
        <v>7</v>
      </c>
      <c r="AB36" s="10">
        <v>8</v>
      </c>
      <c r="AC36" s="10">
        <v>9</v>
      </c>
      <c r="AD36" s="10">
        <v>10</v>
      </c>
      <c r="AE36" s="10">
        <v>11</v>
      </c>
      <c r="AF36" s="10">
        <v>12</v>
      </c>
      <c r="AG36" s="10">
        <v>13</v>
      </c>
      <c r="AH36" s="10">
        <v>14</v>
      </c>
      <c r="AI36" s="10">
        <v>15</v>
      </c>
      <c r="AJ36" s="10">
        <v>16</v>
      </c>
      <c r="AK36" s="10">
        <v>17</v>
      </c>
    </row>
    <row r="37" spans="1:37">
      <c r="A37" s="3"/>
      <c r="B37" s="233" t="str">
        <f>$B$19</f>
        <v>カット</v>
      </c>
      <c r="C37" s="233"/>
      <c r="D37" s="172">
        <v>4</v>
      </c>
      <c r="E37" s="9">
        <f t="shared" ref="E37:E49" si="1">D37*D19</f>
        <v>17280</v>
      </c>
      <c r="F37" s="44">
        <f>D37*$B$8</f>
        <v>100</v>
      </c>
      <c r="G37" s="9">
        <f t="shared" ref="G37:G49" si="2">F37*D19</f>
        <v>432000</v>
      </c>
      <c r="H37" s="163" t="s">
        <v>183</v>
      </c>
      <c r="J37" s="233" t="str">
        <f>$B$19</f>
        <v>カット</v>
      </c>
      <c r="K37" s="233"/>
      <c r="L37" s="172">
        <v>5</v>
      </c>
      <c r="M37" s="9">
        <f>D19*L37</f>
        <v>21600</v>
      </c>
      <c r="N37" s="44">
        <f>L37*$B$8</f>
        <v>125</v>
      </c>
      <c r="O37" s="9">
        <f t="shared" ref="O37:O49" si="3">N37*D19</f>
        <v>540000</v>
      </c>
      <c r="P37" s="2"/>
      <c r="R37" s="10" t="s">
        <v>183</v>
      </c>
      <c r="S37" s="10">
        <f t="shared" ref="S37:S46" si="4">+SUMIF($H$37:$H$49,$R37,$G$37:$G$49)</f>
        <v>432000</v>
      </c>
      <c r="T37" s="10">
        <f>+SUMIF($H$37:$H$49,$R37,$O$37:$O$49)</f>
        <v>569700</v>
      </c>
      <c r="U37" s="10">
        <f>+$S37</f>
        <v>432000</v>
      </c>
      <c r="V37" s="10">
        <f>ROUNDDOWN((Z37-U37)/5+U37,0)</f>
        <v>459540</v>
      </c>
      <c r="W37" s="10">
        <f>ROUNDDOWN((Z37-U37)/5+V37,0)</f>
        <v>487080</v>
      </c>
      <c r="X37" s="10">
        <f>ROUNDDOWN((Z37-U37)/5+W37,0)</f>
        <v>514620</v>
      </c>
      <c r="Y37" s="10">
        <f>ROUNDDOWN((Z37-U37)/5+X37,0)</f>
        <v>542160</v>
      </c>
      <c r="Z37" s="10">
        <f>+$T37</f>
        <v>569700</v>
      </c>
      <c r="AA37" s="10">
        <f t="shared" ref="AA37:AG37" si="5">+Z37</f>
        <v>569700</v>
      </c>
      <c r="AB37" s="10">
        <f t="shared" si="5"/>
        <v>569700</v>
      </c>
      <c r="AC37" s="10">
        <f t="shared" si="5"/>
        <v>569700</v>
      </c>
      <c r="AD37" s="10">
        <f t="shared" si="5"/>
        <v>569700</v>
      </c>
      <c r="AE37" s="10">
        <f t="shared" si="5"/>
        <v>569700</v>
      </c>
      <c r="AF37" s="10">
        <f t="shared" si="5"/>
        <v>569700</v>
      </c>
      <c r="AG37" s="10">
        <f t="shared" si="5"/>
        <v>569700</v>
      </c>
      <c r="AH37" s="10">
        <f t="shared" ref="AH37:AH44" si="6">+AG37</f>
        <v>569700</v>
      </c>
      <c r="AI37" s="10">
        <f>+AH37</f>
        <v>569700</v>
      </c>
      <c r="AJ37" s="10">
        <f>+AI37</f>
        <v>569700</v>
      </c>
      <c r="AK37" s="10">
        <f t="shared" ref="AK37:AK46" si="7">+AJ37</f>
        <v>569700</v>
      </c>
    </row>
    <row r="38" spans="1:37">
      <c r="A38" s="3"/>
      <c r="B38" s="233" t="str">
        <f>$B$20</f>
        <v>カラー</v>
      </c>
      <c r="C38" s="233" t="str">
        <f>$B$20</f>
        <v>カラー</v>
      </c>
      <c r="D38" s="172">
        <v>0</v>
      </c>
      <c r="E38" s="9">
        <f t="shared" si="1"/>
        <v>0</v>
      </c>
      <c r="F38" s="44">
        <v>8</v>
      </c>
      <c r="G38" s="9">
        <f t="shared" si="2"/>
        <v>47520</v>
      </c>
      <c r="H38" s="163" t="s">
        <v>184</v>
      </c>
      <c r="J38" s="233" t="str">
        <f>$B$20</f>
        <v>カラー</v>
      </c>
      <c r="K38" s="233" t="str">
        <f>$B$20</f>
        <v>カラー</v>
      </c>
      <c r="L38" s="172"/>
      <c r="M38" s="9">
        <f>D20*L38</f>
        <v>0</v>
      </c>
      <c r="N38" s="44">
        <v>8</v>
      </c>
      <c r="O38" s="9">
        <f t="shared" si="3"/>
        <v>47520</v>
      </c>
      <c r="P38" s="3"/>
      <c r="Q38"/>
      <c r="R38" s="1" t="s">
        <v>184</v>
      </c>
      <c r="S38" s="10">
        <f t="shared" si="4"/>
        <v>47520</v>
      </c>
      <c r="T38" s="10">
        <f t="shared" ref="T38:T46" si="8">+SUMIF($H$37:$H$49,$R38,$G$37:$G$49)</f>
        <v>47520</v>
      </c>
      <c r="U38" s="1"/>
      <c r="V38" s="10">
        <f>+$S38</f>
        <v>47520</v>
      </c>
      <c r="W38" s="10">
        <f>ROUNDDOWN((AA38-V38)/5+V38,0)</f>
        <v>47520</v>
      </c>
      <c r="X38" s="10">
        <f>ROUNDDOWN((AA38-V38)/5+W38,0)</f>
        <v>47520</v>
      </c>
      <c r="Y38" s="10">
        <f>ROUNDDOWN((AA38-V38)/5+X38,0)</f>
        <v>47520</v>
      </c>
      <c r="Z38" s="10">
        <f>ROUNDDOWN((AA38-V38)/5+Y38,0)</f>
        <v>47520</v>
      </c>
      <c r="AA38" s="10">
        <f>+$T38</f>
        <v>47520</v>
      </c>
      <c r="AB38" s="10">
        <f>+AA38</f>
        <v>47520</v>
      </c>
      <c r="AC38" s="10">
        <f>+AB38</f>
        <v>47520</v>
      </c>
      <c r="AD38" s="10">
        <f>+AC38</f>
        <v>47520</v>
      </c>
      <c r="AE38" s="10">
        <f>+AD38</f>
        <v>47520</v>
      </c>
      <c r="AF38" s="10">
        <f>+AE38</f>
        <v>47520</v>
      </c>
      <c r="AG38" s="10">
        <f t="shared" ref="AG38:AG43" si="9">+AF38</f>
        <v>47520</v>
      </c>
      <c r="AH38" s="10">
        <f t="shared" si="6"/>
        <v>47520</v>
      </c>
      <c r="AI38" s="10">
        <f t="shared" ref="AI38:AI45" si="10">+AH38</f>
        <v>47520</v>
      </c>
      <c r="AJ38" s="10">
        <f t="shared" ref="AJ38:AJ46" si="11">+AI38</f>
        <v>47520</v>
      </c>
      <c r="AK38" s="10">
        <f t="shared" si="7"/>
        <v>47520</v>
      </c>
    </row>
    <row r="39" spans="1:37">
      <c r="A39" s="3"/>
      <c r="B39" s="233" t="str">
        <f>$B$21</f>
        <v>カラー（カット込）</v>
      </c>
      <c r="C39" s="233" t="str">
        <f>$B$20</f>
        <v>カラー</v>
      </c>
      <c r="D39" s="172">
        <v>2</v>
      </c>
      <c r="E39" s="9">
        <f t="shared" si="1"/>
        <v>17280</v>
      </c>
      <c r="F39" s="44">
        <f t="shared" ref="F39" si="12">D39*$B$8</f>
        <v>50</v>
      </c>
      <c r="G39" s="9">
        <f t="shared" si="2"/>
        <v>432000</v>
      </c>
      <c r="H39" s="163" t="s">
        <v>185</v>
      </c>
      <c r="J39" s="233" t="str">
        <f>$B$21</f>
        <v>カラー（カット込）</v>
      </c>
      <c r="K39" s="233" t="str">
        <f>$B$20</f>
        <v>カラー</v>
      </c>
      <c r="L39" s="172">
        <v>3</v>
      </c>
      <c r="M39" s="9">
        <f>D21*L39</f>
        <v>25920</v>
      </c>
      <c r="N39" s="44">
        <f t="shared" ref="N39" si="13">L39*$B$8</f>
        <v>75</v>
      </c>
      <c r="O39" s="9">
        <f t="shared" si="3"/>
        <v>648000</v>
      </c>
      <c r="P39" s="3"/>
      <c r="Q39"/>
      <c r="R39" s="1" t="s">
        <v>185</v>
      </c>
      <c r="S39" s="10">
        <f t="shared" si="4"/>
        <v>432000</v>
      </c>
      <c r="T39" s="10">
        <f t="shared" si="8"/>
        <v>432000</v>
      </c>
      <c r="U39" s="1"/>
      <c r="V39" s="1"/>
      <c r="W39" s="10">
        <f>+$S39</f>
        <v>432000</v>
      </c>
      <c r="X39" s="10">
        <f>ROUNDDOWN((AB39-W39)/5+W39,0)</f>
        <v>432000</v>
      </c>
      <c r="Y39" s="10">
        <f>ROUNDDOWN((AB39-W39)/5+X39,0)</f>
        <v>432000</v>
      </c>
      <c r="Z39" s="10">
        <f>ROUNDDOWN((AB39-W39)/5+Y39,0)</f>
        <v>432000</v>
      </c>
      <c r="AA39" s="10">
        <f>ROUNDDOWN((AB39-W39)/5+Z39,0)</f>
        <v>432000</v>
      </c>
      <c r="AB39" s="10">
        <f>+$T39</f>
        <v>432000</v>
      </c>
      <c r="AC39" s="10">
        <f>+AB39</f>
        <v>432000</v>
      </c>
      <c r="AD39" s="10">
        <f>+AC39</f>
        <v>432000</v>
      </c>
      <c r="AE39" s="10">
        <f>+AD39</f>
        <v>432000</v>
      </c>
      <c r="AF39" s="10">
        <f>+AE39</f>
        <v>432000</v>
      </c>
      <c r="AG39" s="10">
        <f t="shared" si="9"/>
        <v>432000</v>
      </c>
      <c r="AH39" s="10">
        <f t="shared" si="6"/>
        <v>432000</v>
      </c>
      <c r="AI39" s="10">
        <f t="shared" si="10"/>
        <v>432000</v>
      </c>
      <c r="AJ39" s="10">
        <f t="shared" si="11"/>
        <v>432000</v>
      </c>
      <c r="AK39" s="10">
        <f t="shared" si="7"/>
        <v>432000</v>
      </c>
    </row>
    <row r="40" spans="1:37">
      <c r="A40" s="3"/>
      <c r="B40" s="233" t="str">
        <f>$B$22</f>
        <v>パーマ</v>
      </c>
      <c r="C40" s="233" t="str">
        <f>$B$20</f>
        <v>カラー</v>
      </c>
      <c r="D40" s="172">
        <v>1</v>
      </c>
      <c r="E40" s="9">
        <f t="shared" si="1"/>
        <v>7560</v>
      </c>
      <c r="F40" s="44">
        <f>D40*$B$8</f>
        <v>25</v>
      </c>
      <c r="G40" s="9">
        <f t="shared" si="2"/>
        <v>189000</v>
      </c>
      <c r="H40" s="163" t="s">
        <v>186</v>
      </c>
      <c r="J40" s="237"/>
      <c r="K40" s="238"/>
      <c r="L40" s="172">
        <v>1</v>
      </c>
      <c r="M40" s="9"/>
      <c r="N40" s="44">
        <v>25</v>
      </c>
      <c r="O40" s="9">
        <f t="shared" si="3"/>
        <v>189000</v>
      </c>
      <c r="P40" s="3"/>
      <c r="Q40"/>
      <c r="R40" s="1" t="s">
        <v>186</v>
      </c>
      <c r="S40" s="10">
        <f t="shared" si="4"/>
        <v>189000</v>
      </c>
      <c r="T40" s="10">
        <f t="shared" si="8"/>
        <v>189000</v>
      </c>
      <c r="U40" s="1"/>
      <c r="V40" s="1"/>
      <c r="W40" s="1"/>
      <c r="X40" s="10">
        <f>+$S40</f>
        <v>189000</v>
      </c>
      <c r="Y40" s="10">
        <f>ROUNDDOWN((AC40-X40)/5+X40,0)</f>
        <v>189000</v>
      </c>
      <c r="Z40" s="10">
        <f>ROUNDDOWN((AC40-X40)/5+Y40,0)</f>
        <v>189000</v>
      </c>
      <c r="AA40" s="10">
        <f>ROUNDDOWN((AC40-X40)/5+Z40,0)</f>
        <v>189000</v>
      </c>
      <c r="AB40" s="10">
        <f>ROUNDDOWN((AC40-X40)/5+AA40,0)</f>
        <v>189000</v>
      </c>
      <c r="AC40" s="10">
        <f>+$T40</f>
        <v>189000</v>
      </c>
      <c r="AD40" s="10">
        <f>+AC40</f>
        <v>189000</v>
      </c>
      <c r="AE40" s="10">
        <f>+AD40</f>
        <v>189000</v>
      </c>
      <c r="AF40" s="10">
        <f>+AE40</f>
        <v>189000</v>
      </c>
      <c r="AG40" s="10">
        <f t="shared" si="9"/>
        <v>189000</v>
      </c>
      <c r="AH40" s="10">
        <f t="shared" si="6"/>
        <v>189000</v>
      </c>
      <c r="AI40" s="10">
        <f t="shared" si="10"/>
        <v>189000</v>
      </c>
      <c r="AJ40" s="10">
        <f t="shared" si="11"/>
        <v>189000</v>
      </c>
      <c r="AK40" s="10">
        <f t="shared" si="7"/>
        <v>189000</v>
      </c>
    </row>
    <row r="41" spans="1:37">
      <c r="A41" s="3"/>
      <c r="B41" s="233" t="str">
        <f>$B$23</f>
        <v>縮毛矯正</v>
      </c>
      <c r="C41" s="233" t="str">
        <f>$B$23</f>
        <v>縮毛矯正</v>
      </c>
      <c r="D41" s="172">
        <v>0</v>
      </c>
      <c r="E41" s="9">
        <f t="shared" si="1"/>
        <v>0</v>
      </c>
      <c r="F41" s="44">
        <v>5</v>
      </c>
      <c r="G41" s="9">
        <f t="shared" si="2"/>
        <v>64800</v>
      </c>
      <c r="H41" s="163" t="s">
        <v>187</v>
      </c>
      <c r="J41" s="233" t="str">
        <f>$B$23</f>
        <v>縮毛矯正</v>
      </c>
      <c r="K41" s="233" t="str">
        <f>$B$23</f>
        <v>縮毛矯正</v>
      </c>
      <c r="L41" s="172"/>
      <c r="M41" s="9">
        <f t="shared" ref="M41:M49" si="14">D23*L41</f>
        <v>0</v>
      </c>
      <c r="N41" s="44">
        <v>5</v>
      </c>
      <c r="O41" s="9">
        <f t="shared" si="3"/>
        <v>64800</v>
      </c>
      <c r="P41" s="3"/>
      <c r="Q41"/>
      <c r="R41" s="1" t="s">
        <v>187</v>
      </c>
      <c r="S41" s="10">
        <f t="shared" si="4"/>
        <v>64800</v>
      </c>
      <c r="T41" s="10">
        <f t="shared" si="8"/>
        <v>64800</v>
      </c>
      <c r="U41" s="1"/>
      <c r="V41" s="1"/>
      <c r="W41" s="1"/>
      <c r="X41" s="1"/>
      <c r="Y41" s="10">
        <f>+$S41</f>
        <v>64800</v>
      </c>
      <c r="Z41" s="10">
        <f>ROUNDDOWN((AD41-Y41)/5+Y41,0)</f>
        <v>64800</v>
      </c>
      <c r="AA41" s="10">
        <f>ROUNDDOWN((AD41-Y41)/5+Z41,0)</f>
        <v>64800</v>
      </c>
      <c r="AB41" s="10">
        <f>ROUNDDOWN((AD41-Y41)/5+AA41,0)</f>
        <v>64800</v>
      </c>
      <c r="AC41" s="10">
        <f>ROUNDDOWN((AD41-Y41)/5+AB41,0)</f>
        <v>64800</v>
      </c>
      <c r="AD41" s="10">
        <f>+$T41</f>
        <v>64800</v>
      </c>
      <c r="AE41" s="10">
        <f>+AD41</f>
        <v>64800</v>
      </c>
      <c r="AF41" s="10">
        <f>+AE41</f>
        <v>64800</v>
      </c>
      <c r="AG41" s="10">
        <f t="shared" si="9"/>
        <v>64800</v>
      </c>
      <c r="AH41" s="10">
        <f t="shared" si="6"/>
        <v>64800</v>
      </c>
      <c r="AI41" s="10">
        <f t="shared" si="10"/>
        <v>64800</v>
      </c>
      <c r="AJ41" s="10">
        <f t="shared" si="11"/>
        <v>64800</v>
      </c>
      <c r="AK41" s="10">
        <f t="shared" si="7"/>
        <v>64800</v>
      </c>
    </row>
    <row r="42" spans="1:37">
      <c r="A42" s="3"/>
      <c r="B42" s="233" t="str">
        <f>$B$24</f>
        <v>エクステ</v>
      </c>
      <c r="C42" s="233"/>
      <c r="D42" s="172">
        <v>0</v>
      </c>
      <c r="E42" s="9">
        <f t="shared" si="1"/>
        <v>0</v>
      </c>
      <c r="F42" s="44">
        <v>1</v>
      </c>
      <c r="G42" s="9">
        <f t="shared" si="2"/>
        <v>19440</v>
      </c>
      <c r="H42" s="163" t="s">
        <v>188</v>
      </c>
      <c r="J42" s="233" t="str">
        <f>$B$24</f>
        <v>エクステ</v>
      </c>
      <c r="K42" s="233"/>
      <c r="L42" s="172"/>
      <c r="M42" s="9">
        <f t="shared" si="14"/>
        <v>0</v>
      </c>
      <c r="N42" s="44">
        <v>1</v>
      </c>
      <c r="O42" s="9">
        <f t="shared" si="3"/>
        <v>19440</v>
      </c>
      <c r="P42" s="3"/>
      <c r="Q42"/>
      <c r="R42" s="1" t="s">
        <v>188</v>
      </c>
      <c r="S42" s="10">
        <f t="shared" si="4"/>
        <v>19440</v>
      </c>
      <c r="T42" s="10">
        <f t="shared" si="8"/>
        <v>19440</v>
      </c>
      <c r="U42" s="1"/>
      <c r="V42" s="1"/>
      <c r="W42" s="1"/>
      <c r="X42" s="1"/>
      <c r="Y42" s="10"/>
      <c r="Z42" s="10">
        <f>+$S42</f>
        <v>19440</v>
      </c>
      <c r="AA42" s="10">
        <f>ROUNDDOWN((AE42-Z42)/5+Z42,0)</f>
        <v>19440</v>
      </c>
      <c r="AB42" s="10">
        <f>ROUNDDOWN((AE42-Z42)/5+AA42,0)</f>
        <v>19440</v>
      </c>
      <c r="AC42" s="10">
        <f>ROUNDDOWN((AE42-Z42)/5+AB42,0)</f>
        <v>19440</v>
      </c>
      <c r="AD42" s="10">
        <f>ROUNDDOWN((AE42-Z42)/5+AC42,0)</f>
        <v>19440</v>
      </c>
      <c r="AE42" s="10">
        <f>+$T42</f>
        <v>19440</v>
      </c>
      <c r="AF42" s="10">
        <f>+AE42</f>
        <v>19440</v>
      </c>
      <c r="AG42" s="10">
        <f t="shared" si="9"/>
        <v>19440</v>
      </c>
      <c r="AH42" s="10">
        <f t="shared" si="6"/>
        <v>19440</v>
      </c>
      <c r="AI42" s="10">
        <f t="shared" si="10"/>
        <v>19440</v>
      </c>
      <c r="AJ42" s="10">
        <f t="shared" si="11"/>
        <v>19440</v>
      </c>
      <c r="AK42" s="10">
        <f t="shared" si="7"/>
        <v>19440</v>
      </c>
    </row>
    <row r="43" spans="1:37">
      <c r="A43" s="3"/>
      <c r="B43" s="233" t="str">
        <f>$B$25</f>
        <v>ヘッドスパ</v>
      </c>
      <c r="C43" s="233"/>
      <c r="D43" s="172"/>
      <c r="E43" s="9">
        <f t="shared" si="1"/>
        <v>0</v>
      </c>
      <c r="F43" s="44">
        <v>8</v>
      </c>
      <c r="G43" s="9">
        <f t="shared" si="2"/>
        <v>25920</v>
      </c>
      <c r="H43" s="163" t="s">
        <v>189</v>
      </c>
      <c r="J43" s="233" t="str">
        <f>$B$25</f>
        <v>ヘッドスパ</v>
      </c>
      <c r="K43" s="233"/>
      <c r="L43" s="172"/>
      <c r="M43" s="9">
        <f t="shared" si="14"/>
        <v>0</v>
      </c>
      <c r="N43" s="44">
        <v>8</v>
      </c>
      <c r="O43" s="9">
        <f t="shared" si="3"/>
        <v>25920</v>
      </c>
      <c r="P43" s="3"/>
      <c r="Q43"/>
      <c r="R43" s="1" t="s">
        <v>189</v>
      </c>
      <c r="S43" s="10">
        <f t="shared" si="4"/>
        <v>25920</v>
      </c>
      <c r="T43" s="10">
        <f t="shared" si="8"/>
        <v>25920</v>
      </c>
      <c r="U43" s="1"/>
      <c r="V43" s="1"/>
      <c r="W43" s="1"/>
      <c r="X43" s="1"/>
      <c r="Y43" s="10"/>
      <c r="Z43" s="10"/>
      <c r="AA43" s="10">
        <f>+$S43</f>
        <v>25920</v>
      </c>
      <c r="AB43" s="10">
        <f>ROUNDDOWN((AF43-AA43)/5+AA43,0)</f>
        <v>25920</v>
      </c>
      <c r="AC43" s="10">
        <f>ROUNDDOWN((AF43-AA43)/5+AB43,0)</f>
        <v>25920</v>
      </c>
      <c r="AD43" s="10">
        <f>ROUNDDOWN((AF43-AA43)/5+AC43,0)</f>
        <v>25920</v>
      </c>
      <c r="AE43" s="10">
        <f>ROUNDDOWN((AF43-AA43)/5+AD43,0)</f>
        <v>25920</v>
      </c>
      <c r="AF43" s="10">
        <f>+$T43</f>
        <v>25920</v>
      </c>
      <c r="AG43" s="10">
        <f t="shared" si="9"/>
        <v>25920</v>
      </c>
      <c r="AH43" s="10">
        <f t="shared" si="6"/>
        <v>25920</v>
      </c>
      <c r="AI43" s="10">
        <f t="shared" si="10"/>
        <v>25920</v>
      </c>
      <c r="AJ43" s="10">
        <f t="shared" si="11"/>
        <v>25920</v>
      </c>
      <c r="AK43" s="10">
        <f t="shared" si="7"/>
        <v>25920</v>
      </c>
    </row>
    <row r="44" spans="1:37">
      <c r="A44" s="3"/>
      <c r="B44" s="233" t="str">
        <f>$B$26</f>
        <v>シャンプー</v>
      </c>
      <c r="C44" s="233"/>
      <c r="D44" s="172"/>
      <c r="E44" s="9">
        <f t="shared" si="1"/>
        <v>0</v>
      </c>
      <c r="F44" s="44">
        <v>7</v>
      </c>
      <c r="G44" s="9">
        <f t="shared" si="2"/>
        <v>18900</v>
      </c>
      <c r="H44" s="163" t="s">
        <v>190</v>
      </c>
      <c r="J44" s="233" t="str">
        <f>$B$26</f>
        <v>シャンプー</v>
      </c>
      <c r="K44" s="233"/>
      <c r="L44" s="172">
        <v>1</v>
      </c>
      <c r="M44" s="9">
        <f t="shared" si="14"/>
        <v>2700</v>
      </c>
      <c r="N44" s="44">
        <f t="shared" ref="N44:N46" si="15">L44*$B$8</f>
        <v>25</v>
      </c>
      <c r="O44" s="9">
        <f t="shared" si="3"/>
        <v>67500</v>
      </c>
      <c r="P44" s="3"/>
      <c r="Q44"/>
      <c r="R44" s="1" t="s">
        <v>190</v>
      </c>
      <c r="S44" s="10">
        <f t="shared" si="4"/>
        <v>18900</v>
      </c>
      <c r="T44" s="10">
        <f t="shared" si="8"/>
        <v>18900</v>
      </c>
      <c r="U44" s="1"/>
      <c r="V44" s="1"/>
      <c r="W44" s="1"/>
      <c r="X44" s="1"/>
      <c r="Y44" s="10"/>
      <c r="Z44" s="10"/>
      <c r="AA44" s="10"/>
      <c r="AB44" s="10">
        <f>+$S44</f>
        <v>18900</v>
      </c>
      <c r="AC44" s="10">
        <f>ROUNDDOWN((AG44-AB44)/5+AB44,0)</f>
        <v>18900</v>
      </c>
      <c r="AD44" s="10">
        <f>ROUNDDOWN((AG44-AB44)/5+AC44,0)</f>
        <v>18900</v>
      </c>
      <c r="AE44" s="10">
        <f>ROUNDDOWN((AG44-AB44)/5+AD44,0)</f>
        <v>18900</v>
      </c>
      <c r="AF44" s="10">
        <f>ROUNDDOWN((AG44-AB44)/5+AE44,0)</f>
        <v>18900</v>
      </c>
      <c r="AG44" s="10">
        <f>+$T44</f>
        <v>18900</v>
      </c>
      <c r="AH44" s="10">
        <f t="shared" si="6"/>
        <v>18900</v>
      </c>
      <c r="AI44" s="10">
        <f t="shared" si="10"/>
        <v>18900</v>
      </c>
      <c r="AJ44" s="10">
        <f t="shared" si="11"/>
        <v>18900</v>
      </c>
      <c r="AK44" s="10">
        <f t="shared" si="7"/>
        <v>18900</v>
      </c>
    </row>
    <row r="45" spans="1:37">
      <c r="A45" s="3"/>
      <c r="B45" s="233" t="str">
        <f>$B$27</f>
        <v>ヘアセット</v>
      </c>
      <c r="C45" s="233"/>
      <c r="D45" s="172"/>
      <c r="E45" s="9">
        <f t="shared" si="1"/>
        <v>0</v>
      </c>
      <c r="F45" s="44">
        <v>5</v>
      </c>
      <c r="G45" s="9">
        <f t="shared" si="2"/>
        <v>18900</v>
      </c>
      <c r="H45" s="163" t="s">
        <v>191</v>
      </c>
      <c r="J45" s="233" t="str">
        <f>$B$27</f>
        <v>ヘアセット</v>
      </c>
      <c r="K45" s="233"/>
      <c r="L45" s="172"/>
      <c r="M45" s="9">
        <f t="shared" si="14"/>
        <v>0</v>
      </c>
      <c r="N45" s="44">
        <v>5</v>
      </c>
      <c r="O45" s="9">
        <f t="shared" si="3"/>
        <v>18900</v>
      </c>
      <c r="P45" s="3"/>
      <c r="Q45"/>
      <c r="R45" s="1" t="s">
        <v>191</v>
      </c>
      <c r="S45" s="10">
        <f t="shared" si="4"/>
        <v>18900</v>
      </c>
      <c r="T45" s="10">
        <f t="shared" si="8"/>
        <v>18900</v>
      </c>
      <c r="U45" s="1"/>
      <c r="V45" s="1"/>
      <c r="W45" s="1"/>
      <c r="X45" s="1"/>
      <c r="Y45" s="10"/>
      <c r="Z45" s="10"/>
      <c r="AA45" s="10"/>
      <c r="AB45" s="10"/>
      <c r="AC45" s="10">
        <f>+$S45</f>
        <v>18900</v>
      </c>
      <c r="AD45" s="10">
        <f>ROUNDDOWN((AH45-AC45)/5+AC45,0)</f>
        <v>18900</v>
      </c>
      <c r="AE45" s="10">
        <f>ROUNDDOWN((AH45-AC45)/5+AD45,0)</f>
        <v>18900</v>
      </c>
      <c r="AF45" s="10">
        <f>ROUNDDOWN((AH45-AC45)/5+AE45,0)</f>
        <v>18900</v>
      </c>
      <c r="AG45" s="10">
        <f>ROUNDDOWN((AH45-AC45)/5+AF45,0)</f>
        <v>18900</v>
      </c>
      <c r="AH45" s="10">
        <f>+$T45</f>
        <v>18900</v>
      </c>
      <c r="AI45" s="10">
        <f t="shared" si="10"/>
        <v>18900</v>
      </c>
      <c r="AJ45" s="10">
        <f t="shared" si="11"/>
        <v>18900</v>
      </c>
      <c r="AK45" s="10">
        <f t="shared" si="7"/>
        <v>18900</v>
      </c>
    </row>
    <row r="46" spans="1:37">
      <c r="A46" s="3"/>
      <c r="B46" s="233" t="str">
        <f>$B$28</f>
        <v>眉カラー・カット</v>
      </c>
      <c r="C46" s="233"/>
      <c r="D46" s="172">
        <v>1</v>
      </c>
      <c r="E46" s="9">
        <f t="shared" si="1"/>
        <v>0</v>
      </c>
      <c r="F46" s="44">
        <f t="shared" ref="F46" si="16">D46*$B$8</f>
        <v>25</v>
      </c>
      <c r="G46" s="9">
        <f t="shared" si="2"/>
        <v>0</v>
      </c>
      <c r="H46" s="163" t="s">
        <v>192</v>
      </c>
      <c r="J46" s="233" t="str">
        <f>$B$28</f>
        <v>眉カラー・カット</v>
      </c>
      <c r="K46" s="233"/>
      <c r="L46" s="172">
        <v>1</v>
      </c>
      <c r="M46" s="9">
        <f t="shared" si="14"/>
        <v>0</v>
      </c>
      <c r="N46" s="44">
        <f t="shared" si="15"/>
        <v>25</v>
      </c>
      <c r="O46" s="9">
        <f t="shared" si="3"/>
        <v>0</v>
      </c>
      <c r="P46" s="3"/>
      <c r="Q46"/>
      <c r="R46" s="1" t="s">
        <v>192</v>
      </c>
      <c r="S46" s="10">
        <f t="shared" si="4"/>
        <v>37260</v>
      </c>
      <c r="T46" s="10">
        <f t="shared" si="8"/>
        <v>37260</v>
      </c>
      <c r="U46" s="1"/>
      <c r="V46" s="1"/>
      <c r="W46" s="1"/>
      <c r="X46" s="1"/>
      <c r="Y46" s="10"/>
      <c r="Z46" s="10"/>
      <c r="AA46" s="10"/>
      <c r="AB46" s="10"/>
      <c r="AC46" s="10"/>
      <c r="AD46" s="10">
        <f>+$S46</f>
        <v>37260</v>
      </c>
      <c r="AE46" s="10">
        <f>ROUNDDOWN((AI46-AD46)/5+AD46,0)</f>
        <v>37260</v>
      </c>
      <c r="AF46" s="10">
        <f>ROUNDDOWN((AI46-AD46)/5+AE46,0)</f>
        <v>37260</v>
      </c>
      <c r="AG46" s="10">
        <f>ROUNDDOWN((AI46-AD46)/5+AF46,0)</f>
        <v>37260</v>
      </c>
      <c r="AH46" s="10">
        <f>ROUNDDOWN((AI46-AD46)/5+AG46,0)</f>
        <v>37260</v>
      </c>
      <c r="AI46" s="10">
        <f>+$T46</f>
        <v>37260</v>
      </c>
      <c r="AJ46" s="10">
        <f t="shared" si="11"/>
        <v>37260</v>
      </c>
      <c r="AK46" s="10">
        <f t="shared" si="7"/>
        <v>37260</v>
      </c>
    </row>
    <row r="47" spans="1:37">
      <c r="A47" s="3"/>
      <c r="B47" s="233" t="str">
        <f>$B$29</f>
        <v>ネイル</v>
      </c>
      <c r="C47" s="233"/>
      <c r="D47" s="172">
        <v>0</v>
      </c>
      <c r="E47" s="9">
        <f t="shared" si="1"/>
        <v>0</v>
      </c>
      <c r="F47" s="44">
        <v>0</v>
      </c>
      <c r="G47" s="9">
        <f t="shared" si="2"/>
        <v>0</v>
      </c>
      <c r="H47" s="163" t="s">
        <v>183</v>
      </c>
      <c r="J47" s="233" t="str">
        <f>$B$29</f>
        <v>ネイル</v>
      </c>
      <c r="K47" s="233"/>
      <c r="L47" s="172"/>
      <c r="M47" s="9">
        <f t="shared" si="14"/>
        <v>0</v>
      </c>
      <c r="N47" s="44">
        <v>5</v>
      </c>
      <c r="O47" s="9">
        <f t="shared" si="3"/>
        <v>29700</v>
      </c>
      <c r="P47" s="3"/>
      <c r="Q47"/>
      <c r="R47" s="1"/>
      <c r="S47" s="1"/>
      <c r="T47" s="1"/>
      <c r="U47" s="1"/>
      <c r="V47" s="1"/>
      <c r="W47" s="1"/>
      <c r="X47" s="1"/>
      <c r="Y47" s="10"/>
      <c r="Z47" s="10"/>
      <c r="AA47" s="10"/>
      <c r="AB47" s="10"/>
      <c r="AC47" s="10"/>
      <c r="AD47" s="10"/>
      <c r="AE47" s="10"/>
      <c r="AF47" s="10"/>
      <c r="AG47" s="10"/>
      <c r="AH47" s="10"/>
      <c r="AI47" s="10"/>
      <c r="AJ47" s="10"/>
      <c r="AK47" s="10"/>
    </row>
    <row r="48" spans="1:37">
      <c r="A48" s="3"/>
      <c r="B48" s="233" t="str">
        <f>$B$30</f>
        <v>まつ毛エクステ</v>
      </c>
      <c r="C48" s="233"/>
      <c r="D48" s="172">
        <v>0</v>
      </c>
      <c r="E48" s="9">
        <f t="shared" si="1"/>
        <v>0</v>
      </c>
      <c r="F48" s="44">
        <v>3</v>
      </c>
      <c r="G48" s="9">
        <f t="shared" si="2"/>
        <v>21060</v>
      </c>
      <c r="H48" s="163" t="s">
        <v>192</v>
      </c>
      <c r="J48" s="233" t="str">
        <f>$B$30</f>
        <v>まつ毛エクステ</v>
      </c>
      <c r="K48" s="233"/>
      <c r="L48" s="172"/>
      <c r="M48" s="9">
        <f t="shared" si="14"/>
        <v>0</v>
      </c>
      <c r="N48" s="44">
        <v>5</v>
      </c>
      <c r="O48" s="9">
        <f t="shared" si="3"/>
        <v>35100</v>
      </c>
      <c r="P48" s="3"/>
      <c r="Q48"/>
      <c r="R48" s="1" t="s">
        <v>159</v>
      </c>
      <c r="S48" s="133">
        <f t="shared" ref="S48:AK48" si="17">SUM(S37:S47)</f>
        <v>1285740</v>
      </c>
      <c r="T48" s="133">
        <f t="shared" si="17"/>
        <v>1423440</v>
      </c>
      <c r="U48" s="133">
        <f t="shared" si="17"/>
        <v>432000</v>
      </c>
      <c r="V48" s="133">
        <f t="shared" si="17"/>
        <v>507060</v>
      </c>
      <c r="W48" s="133">
        <f t="shared" si="17"/>
        <v>966600</v>
      </c>
      <c r="X48" s="133">
        <f t="shared" si="17"/>
        <v>1183140</v>
      </c>
      <c r="Y48" s="133">
        <f t="shared" si="17"/>
        <v>1275480</v>
      </c>
      <c r="Z48" s="133">
        <f t="shared" si="17"/>
        <v>1322460</v>
      </c>
      <c r="AA48" s="133">
        <f t="shared" si="17"/>
        <v>1348380</v>
      </c>
      <c r="AB48" s="133">
        <f t="shared" si="17"/>
        <v>1367280</v>
      </c>
      <c r="AC48" s="133">
        <f t="shared" si="17"/>
        <v>1386180</v>
      </c>
      <c r="AD48" s="133">
        <f t="shared" si="17"/>
        <v>1423440</v>
      </c>
      <c r="AE48" s="133">
        <f t="shared" si="17"/>
        <v>1423440</v>
      </c>
      <c r="AF48" s="133">
        <f t="shared" si="17"/>
        <v>1423440</v>
      </c>
      <c r="AG48" s="133">
        <f t="shared" si="17"/>
        <v>1423440</v>
      </c>
      <c r="AH48" s="133">
        <f t="shared" si="17"/>
        <v>1423440</v>
      </c>
      <c r="AI48" s="133">
        <f t="shared" si="17"/>
        <v>1423440</v>
      </c>
      <c r="AJ48" s="133">
        <f t="shared" si="17"/>
        <v>1423440</v>
      </c>
      <c r="AK48" s="133">
        <f t="shared" si="17"/>
        <v>1423440</v>
      </c>
    </row>
    <row r="49" spans="1:37" ht="14.25" thickBot="1">
      <c r="A49" s="3"/>
      <c r="B49" s="234" t="str">
        <f>B$31</f>
        <v>物販（ケア用品等）</v>
      </c>
      <c r="C49" s="234"/>
      <c r="D49" s="173"/>
      <c r="E49" s="8">
        <f t="shared" si="1"/>
        <v>0</v>
      </c>
      <c r="F49" s="45">
        <v>10</v>
      </c>
      <c r="G49" s="8">
        <f t="shared" si="2"/>
        <v>16200</v>
      </c>
      <c r="H49" s="165" t="s">
        <v>192</v>
      </c>
      <c r="J49" s="234" t="str">
        <f>$B$31</f>
        <v>物販（ケア用品等）</v>
      </c>
      <c r="K49" s="234"/>
      <c r="L49" s="173"/>
      <c r="M49" s="8">
        <f t="shared" si="14"/>
        <v>0</v>
      </c>
      <c r="N49" s="45">
        <v>15</v>
      </c>
      <c r="O49" s="9">
        <f t="shared" si="3"/>
        <v>24300</v>
      </c>
      <c r="P49" s="3"/>
      <c r="Q49"/>
      <c r="R49"/>
      <c r="S49"/>
      <c r="T49"/>
      <c r="U49"/>
      <c r="V49"/>
      <c r="W49"/>
      <c r="X49"/>
    </row>
    <row r="50" spans="1:37" ht="14.25" thickTop="1">
      <c r="A50" s="3"/>
      <c r="B50" s="231" t="s">
        <v>0</v>
      </c>
      <c r="C50" s="232"/>
      <c r="D50" s="42">
        <f>SUM(D37:D49)</f>
        <v>8</v>
      </c>
      <c r="E50" s="7">
        <f>SUM(E37:E49)</f>
        <v>42120</v>
      </c>
      <c r="F50" s="43">
        <f>SUM(F37:F49)</f>
        <v>247</v>
      </c>
      <c r="G50" s="7">
        <f>SUM(G37:G49)</f>
        <v>1285740</v>
      </c>
      <c r="H50" s="7"/>
      <c r="J50" s="231" t="s">
        <v>0</v>
      </c>
      <c r="K50" s="232"/>
      <c r="L50" s="42">
        <f>SUM(L37:L49)</f>
        <v>11</v>
      </c>
      <c r="M50" s="7">
        <f>SUM(M37:M49)</f>
        <v>50220</v>
      </c>
      <c r="N50" s="43">
        <f>SUM(N37:N49)</f>
        <v>327</v>
      </c>
      <c r="O50" s="7">
        <f>SUM(O37:O49)</f>
        <v>1710180</v>
      </c>
      <c r="Q50"/>
      <c r="R50"/>
      <c r="S50"/>
      <c r="T50"/>
      <c r="U50"/>
      <c r="V50"/>
      <c r="W50"/>
      <c r="X50"/>
    </row>
    <row r="51" spans="1:37">
      <c r="A51" s="3"/>
      <c r="J51" s="3"/>
      <c r="K51" s="3"/>
      <c r="N51" s="6"/>
      <c r="O51" s="6"/>
      <c r="Q51"/>
      <c r="R51"/>
      <c r="S51"/>
      <c r="T51"/>
      <c r="U51"/>
      <c r="V51"/>
      <c r="W51"/>
      <c r="X51"/>
    </row>
    <row r="52" spans="1:37">
      <c r="A52" s="3"/>
      <c r="B52" s="225" t="s">
        <v>99</v>
      </c>
      <c r="C52" s="225"/>
      <c r="D52" s="46">
        <f>D50</f>
        <v>8</v>
      </c>
      <c r="E52" s="3"/>
      <c r="F52" s="3"/>
      <c r="G52" s="3"/>
      <c r="H52" s="3"/>
      <c r="I52" s="3"/>
      <c r="J52" s="225" t="s">
        <v>99</v>
      </c>
      <c r="K52" s="225"/>
      <c r="L52" s="46">
        <f>L50</f>
        <v>11</v>
      </c>
      <c r="N52" s="6"/>
      <c r="O52" s="6"/>
      <c r="Q52"/>
      <c r="R52"/>
      <c r="S52"/>
      <c r="T52"/>
      <c r="U52"/>
      <c r="V52"/>
      <c r="W52"/>
      <c r="X52"/>
    </row>
    <row r="53" spans="1:37">
      <c r="A53" s="3"/>
      <c r="B53" s="225" t="s">
        <v>98</v>
      </c>
      <c r="C53" s="225"/>
      <c r="D53" s="47">
        <f>D52/G19</f>
        <v>2</v>
      </c>
      <c r="E53" s="3"/>
      <c r="F53" s="3"/>
      <c r="G53" s="3"/>
      <c r="H53" s="3"/>
      <c r="I53" s="3"/>
      <c r="J53" s="225" t="s">
        <v>98</v>
      </c>
      <c r="K53" s="225"/>
      <c r="L53" s="47">
        <f>L52/G19</f>
        <v>2.75</v>
      </c>
      <c r="N53" s="6"/>
      <c r="O53" s="6"/>
      <c r="Q53"/>
      <c r="R53"/>
      <c r="S53"/>
      <c r="T53"/>
      <c r="U53"/>
      <c r="V53"/>
      <c r="W53"/>
      <c r="X53"/>
    </row>
    <row r="54" spans="1:37">
      <c r="A54" s="3"/>
      <c r="B54" s="225" t="s">
        <v>100</v>
      </c>
      <c r="C54" s="225"/>
      <c r="D54" s="51">
        <f>G50/F50</f>
        <v>5205.4251012145751</v>
      </c>
      <c r="E54" s="3"/>
      <c r="F54" s="3"/>
      <c r="G54" s="3"/>
      <c r="H54" s="3"/>
      <c r="I54" s="3"/>
      <c r="J54" s="225" t="s">
        <v>100</v>
      </c>
      <c r="K54" s="225"/>
      <c r="L54" s="50">
        <f>O50/N50</f>
        <v>5229.9082568807344</v>
      </c>
      <c r="N54" s="6"/>
      <c r="O54" s="6"/>
      <c r="Q54"/>
      <c r="R54"/>
      <c r="S54"/>
      <c r="T54"/>
      <c r="U54"/>
      <c r="V54"/>
      <c r="W54"/>
      <c r="X54"/>
    </row>
    <row r="55" spans="1:37">
      <c r="A55" s="3"/>
      <c r="K55" s="3"/>
      <c r="N55" s="6"/>
      <c r="O55" s="6"/>
    </row>
    <row r="56" spans="1:37">
      <c r="A56" s="3"/>
      <c r="D56" s="3"/>
      <c r="E56" s="3"/>
      <c r="F56"/>
      <c r="G56"/>
      <c r="H56"/>
      <c r="I56"/>
      <c r="J56"/>
      <c r="K56"/>
      <c r="L56"/>
      <c r="M56"/>
      <c r="N56" s="6"/>
      <c r="O56" s="6"/>
      <c r="S56" s="10" t="s">
        <v>193</v>
      </c>
      <c r="T56" s="10" t="s">
        <v>194</v>
      </c>
      <c r="U56" s="10">
        <v>1</v>
      </c>
      <c r="V56" s="10">
        <v>2</v>
      </c>
      <c r="W56" s="10">
        <v>3</v>
      </c>
      <c r="X56" s="10">
        <v>4</v>
      </c>
      <c r="Y56" s="10">
        <v>5</v>
      </c>
      <c r="Z56" s="10">
        <v>6</v>
      </c>
      <c r="AA56" s="10">
        <v>7</v>
      </c>
      <c r="AB56" s="10">
        <v>8</v>
      </c>
      <c r="AC56" s="10">
        <v>9</v>
      </c>
      <c r="AD56" s="10">
        <v>10</v>
      </c>
      <c r="AE56" s="10">
        <v>11</v>
      </c>
      <c r="AF56" s="10">
        <v>12</v>
      </c>
      <c r="AG56" s="10">
        <v>13</v>
      </c>
      <c r="AH56" s="10">
        <v>14</v>
      </c>
      <c r="AI56" s="10">
        <v>15</v>
      </c>
      <c r="AJ56" s="10">
        <v>16</v>
      </c>
      <c r="AK56" s="10">
        <v>17</v>
      </c>
    </row>
    <row r="57" spans="1:37" ht="17.25">
      <c r="A57" s="18" t="s">
        <v>110</v>
      </c>
      <c r="D57" s="3"/>
      <c r="E57" s="3"/>
      <c r="F57"/>
      <c r="G57"/>
      <c r="H57"/>
      <c r="I57"/>
      <c r="J57"/>
      <c r="K57"/>
      <c r="L57"/>
      <c r="M57" s="3"/>
      <c r="N57" s="6"/>
      <c r="O57" s="6"/>
      <c r="R57" s="10" t="s">
        <v>199</v>
      </c>
      <c r="S57" s="10">
        <f t="shared" ref="S57:S66" si="18">+IF(OR($F$66=0,$F$66=""),SUMIF($G$59:$G$65,$R57,$F$59:$F$65),SUMIF($G$67,$R57,$F$67))</f>
        <v>0</v>
      </c>
      <c r="T57" s="10">
        <f t="shared" ref="T57:T66" si="19">+IF(OR($N$66=0,$F$66=""),SUMIF($G$59:$G$65,$R57,$N$59:$N$65),SUMIF($G$67,$R57,$N$67))</f>
        <v>0</v>
      </c>
      <c r="U57" s="10">
        <f>+$S57</f>
        <v>0</v>
      </c>
      <c r="V57" s="10">
        <f>ROUNDDOWN((Z57-U57)/5+U57,0)</f>
        <v>0</v>
      </c>
      <c r="W57" s="10">
        <f>ROUNDDOWN((Z57-U57)/5+V57,0)</f>
        <v>0</v>
      </c>
      <c r="X57" s="10">
        <f>ROUNDDOWN((Z57-U57)/5+W57,0)</f>
        <v>0</v>
      </c>
      <c r="Y57" s="10">
        <f>ROUNDDOWN((Z57-U57)/5+X57,0)</f>
        <v>0</v>
      </c>
      <c r="Z57" s="10">
        <f>+$T57</f>
        <v>0</v>
      </c>
      <c r="AA57" s="10">
        <f t="shared" ref="AA57:AG57" si="20">+Z57</f>
        <v>0</v>
      </c>
      <c r="AB57" s="10">
        <f t="shared" si="20"/>
        <v>0</v>
      </c>
      <c r="AC57" s="10">
        <f t="shared" si="20"/>
        <v>0</v>
      </c>
      <c r="AD57" s="10">
        <f t="shared" si="20"/>
        <v>0</v>
      </c>
      <c r="AE57" s="10">
        <f t="shared" si="20"/>
        <v>0</v>
      </c>
      <c r="AF57" s="10">
        <f t="shared" si="20"/>
        <v>0</v>
      </c>
      <c r="AG57" s="10">
        <f t="shared" si="20"/>
        <v>0</v>
      </c>
      <c r="AH57" s="10">
        <f t="shared" ref="AH57:AJ66" si="21">+AG57</f>
        <v>0</v>
      </c>
      <c r="AI57" s="10">
        <f>+AH57</f>
        <v>0</v>
      </c>
      <c r="AJ57" s="10">
        <f>+AI57</f>
        <v>0</v>
      </c>
      <c r="AK57" s="10">
        <f t="shared" ref="AK57:AK66" si="22">+AJ57</f>
        <v>0</v>
      </c>
    </row>
    <row r="58" spans="1:37">
      <c r="A58" s="3"/>
      <c r="B58" s="225" t="s">
        <v>107</v>
      </c>
      <c r="C58" s="225"/>
      <c r="D58" s="146" t="s">
        <v>108</v>
      </c>
      <c r="E58" s="146" t="s">
        <v>109</v>
      </c>
      <c r="F58" s="146" t="s">
        <v>14</v>
      </c>
      <c r="G58" s="134" t="s">
        <v>197</v>
      </c>
      <c r="H58"/>
      <c r="I58"/>
      <c r="J58" s="225" t="s">
        <v>107</v>
      </c>
      <c r="K58" s="225"/>
      <c r="L58" s="146" t="s">
        <v>108</v>
      </c>
      <c r="M58" s="146" t="s">
        <v>109</v>
      </c>
      <c r="N58" s="146" t="s">
        <v>14</v>
      </c>
      <c r="O58" s="6"/>
      <c r="R58" s="1" t="s">
        <v>200</v>
      </c>
      <c r="S58" s="10">
        <f t="shared" si="18"/>
        <v>128574</v>
      </c>
      <c r="T58" s="10">
        <f t="shared" si="19"/>
        <v>171018</v>
      </c>
      <c r="U58" s="1"/>
      <c r="V58" s="10">
        <f>+$S58</f>
        <v>128574</v>
      </c>
      <c r="W58" s="10">
        <f>ROUNDDOWN((AA58-V58)/5+V58,0)</f>
        <v>137062</v>
      </c>
      <c r="X58" s="10">
        <f>ROUNDDOWN((AA58-V58)/5+W58,0)</f>
        <v>145550</v>
      </c>
      <c r="Y58" s="10">
        <f>ROUNDDOWN((AA58-V58)/5+X58,0)</f>
        <v>154038</v>
      </c>
      <c r="Z58" s="10">
        <f>ROUNDDOWN((AA58-V58)/5+Y58,0)</f>
        <v>162526</v>
      </c>
      <c r="AA58" s="10">
        <f>+$T58</f>
        <v>171018</v>
      </c>
      <c r="AB58" s="10">
        <f>+AA58</f>
        <v>171018</v>
      </c>
      <c r="AC58" s="10">
        <f>+AB58</f>
        <v>171018</v>
      </c>
      <c r="AD58" s="10">
        <f>+AC58</f>
        <v>171018</v>
      </c>
      <c r="AE58" s="10">
        <f>+AD58</f>
        <v>171018</v>
      </c>
      <c r="AF58" s="10">
        <f>+AE58</f>
        <v>171018</v>
      </c>
      <c r="AG58" s="10">
        <f t="shared" ref="AG58:AG63" si="23">+AF58</f>
        <v>171018</v>
      </c>
      <c r="AH58" s="10">
        <f t="shared" si="21"/>
        <v>171018</v>
      </c>
      <c r="AI58" s="10">
        <f t="shared" si="21"/>
        <v>171018</v>
      </c>
      <c r="AJ58" s="10">
        <f t="shared" si="21"/>
        <v>171018</v>
      </c>
      <c r="AK58" s="10">
        <f t="shared" si="22"/>
        <v>171018</v>
      </c>
    </row>
    <row r="59" spans="1:37">
      <c r="A59" s="3"/>
      <c r="B59" s="226" t="s">
        <v>90</v>
      </c>
      <c r="C59" s="227"/>
      <c r="D59" s="163"/>
      <c r="E59" s="164"/>
      <c r="F59" s="9">
        <f>D59*E59</f>
        <v>0</v>
      </c>
      <c r="G59" s="158" t="s">
        <v>199</v>
      </c>
      <c r="H59"/>
      <c r="I59"/>
      <c r="J59" s="117" t="str">
        <f>+B59</f>
        <v>シャンプー</v>
      </c>
      <c r="K59" s="118"/>
      <c r="L59" s="9">
        <f>+D59</f>
        <v>0</v>
      </c>
      <c r="M59" s="164"/>
      <c r="N59" s="9">
        <f>L59*M59</f>
        <v>0</v>
      </c>
      <c r="O59" s="6"/>
      <c r="R59" s="1" t="s">
        <v>201</v>
      </c>
      <c r="S59" s="10">
        <f t="shared" si="18"/>
        <v>0</v>
      </c>
      <c r="T59" s="10">
        <f t="shared" si="19"/>
        <v>0</v>
      </c>
      <c r="U59" s="1"/>
      <c r="V59" s="1"/>
      <c r="W59" s="10">
        <f>+$S59</f>
        <v>0</v>
      </c>
      <c r="X59" s="10">
        <f>ROUNDDOWN((AB59-W59)/5+W59,0)</f>
        <v>0</v>
      </c>
      <c r="Y59" s="10">
        <f>ROUNDDOWN((AB59-W59)/5+X59,0)</f>
        <v>0</v>
      </c>
      <c r="Z59" s="10">
        <f>ROUNDDOWN((AB59-W59)/5+Y59,0)</f>
        <v>0</v>
      </c>
      <c r="AA59" s="10">
        <f>ROUNDDOWN((AB59-W59)/5+Z59,0)</f>
        <v>0</v>
      </c>
      <c r="AB59" s="10">
        <f>+$T59</f>
        <v>0</v>
      </c>
      <c r="AC59" s="10">
        <f>+AB59</f>
        <v>0</v>
      </c>
      <c r="AD59" s="10">
        <f>+AC59</f>
        <v>0</v>
      </c>
      <c r="AE59" s="10">
        <f>+AD59</f>
        <v>0</v>
      </c>
      <c r="AF59" s="10">
        <f>+AE59</f>
        <v>0</v>
      </c>
      <c r="AG59" s="10">
        <f t="shared" si="23"/>
        <v>0</v>
      </c>
      <c r="AH59" s="10">
        <f t="shared" si="21"/>
        <v>0</v>
      </c>
      <c r="AI59" s="10">
        <f t="shared" si="21"/>
        <v>0</v>
      </c>
      <c r="AJ59" s="10">
        <f t="shared" si="21"/>
        <v>0</v>
      </c>
      <c r="AK59" s="10">
        <f t="shared" si="22"/>
        <v>0</v>
      </c>
    </row>
    <row r="60" spans="1:37">
      <c r="A60" s="3"/>
      <c r="B60" s="226" t="s">
        <v>101</v>
      </c>
      <c r="C60" s="227"/>
      <c r="D60" s="163">
        <v>1500</v>
      </c>
      <c r="E60" s="164">
        <v>10</v>
      </c>
      <c r="F60" s="9">
        <f>D60*E60</f>
        <v>15000</v>
      </c>
      <c r="G60" s="158" t="s">
        <v>203</v>
      </c>
      <c r="H60"/>
      <c r="I60"/>
      <c r="J60" s="117" t="str">
        <f t="shared" ref="J60:J65" si="24">+B60</f>
        <v>カラー剤</v>
      </c>
      <c r="K60" s="118"/>
      <c r="L60" s="9">
        <f t="shared" ref="L60:L65" si="25">+D60</f>
        <v>1500</v>
      </c>
      <c r="M60" s="164"/>
      <c r="N60" s="9">
        <f>L60*M60</f>
        <v>0</v>
      </c>
      <c r="O60" s="6"/>
      <c r="R60" s="1" t="s">
        <v>202</v>
      </c>
      <c r="S60" s="10">
        <f t="shared" si="18"/>
        <v>0</v>
      </c>
      <c r="T60" s="10">
        <f t="shared" si="19"/>
        <v>0</v>
      </c>
      <c r="U60" s="1"/>
      <c r="V60" s="1"/>
      <c r="W60" s="1"/>
      <c r="X60" s="10">
        <f>+$S60</f>
        <v>0</v>
      </c>
      <c r="Y60" s="10">
        <f>ROUNDDOWN((AC60-X60)/5+X60,0)</f>
        <v>0</v>
      </c>
      <c r="Z60" s="10">
        <f>ROUNDDOWN((AC60-X60)/5+Y60,0)</f>
        <v>0</v>
      </c>
      <c r="AA60" s="10">
        <f>ROUNDDOWN((AC60-X60)/5+Z60,0)</f>
        <v>0</v>
      </c>
      <c r="AB60" s="10">
        <f>ROUNDDOWN((AC60-X60)/5+AA60,0)</f>
        <v>0</v>
      </c>
      <c r="AC60" s="10">
        <f>+$T60</f>
        <v>0</v>
      </c>
      <c r="AD60" s="10">
        <f>+AC60</f>
        <v>0</v>
      </c>
      <c r="AE60" s="10">
        <f>+AD60</f>
        <v>0</v>
      </c>
      <c r="AF60" s="10">
        <f>+AE60</f>
        <v>0</v>
      </c>
      <c r="AG60" s="10">
        <f t="shared" si="23"/>
        <v>0</v>
      </c>
      <c r="AH60" s="10">
        <f t="shared" si="21"/>
        <v>0</v>
      </c>
      <c r="AI60" s="10">
        <f t="shared" si="21"/>
        <v>0</v>
      </c>
      <c r="AJ60" s="10">
        <f t="shared" si="21"/>
        <v>0</v>
      </c>
      <c r="AK60" s="10">
        <f t="shared" si="22"/>
        <v>0</v>
      </c>
    </row>
    <row r="61" spans="1:37">
      <c r="A61" s="3"/>
      <c r="B61" s="226" t="s">
        <v>102</v>
      </c>
      <c r="C61" s="227"/>
      <c r="D61" s="163"/>
      <c r="E61" s="164"/>
      <c r="F61" s="9">
        <f t="shared" ref="F61:F65" si="26">D61*E61</f>
        <v>0</v>
      </c>
      <c r="G61" s="158"/>
      <c r="H61"/>
      <c r="I61"/>
      <c r="J61" s="117" t="str">
        <f t="shared" si="24"/>
        <v>整髪料</v>
      </c>
      <c r="K61" s="118"/>
      <c r="L61" s="9">
        <f t="shared" si="25"/>
        <v>0</v>
      </c>
      <c r="M61" s="164"/>
      <c r="N61" s="9">
        <f t="shared" ref="N61:N65" si="27">L61*M61</f>
        <v>0</v>
      </c>
      <c r="O61" s="6"/>
      <c r="R61" s="1" t="s">
        <v>203</v>
      </c>
      <c r="S61" s="10">
        <f t="shared" si="18"/>
        <v>0</v>
      </c>
      <c r="T61" s="10">
        <f t="shared" si="19"/>
        <v>0</v>
      </c>
      <c r="U61" s="1"/>
      <c r="V61" s="1"/>
      <c r="W61" s="1"/>
      <c r="X61" s="1"/>
      <c r="Y61" s="10">
        <f>+$S61</f>
        <v>0</v>
      </c>
      <c r="Z61" s="10">
        <f>ROUNDDOWN((AD61-Y61)/5+Y61,0)</f>
        <v>0</v>
      </c>
      <c r="AA61" s="10">
        <f>ROUNDDOWN((AD61-Y61)/5+Z61,0)</f>
        <v>0</v>
      </c>
      <c r="AB61" s="10">
        <f>ROUNDDOWN((AD61-Y61)/5+AA61,0)</f>
        <v>0</v>
      </c>
      <c r="AC61" s="10">
        <f>ROUNDDOWN((AD61-Y61)/5+AB61,0)</f>
        <v>0</v>
      </c>
      <c r="AD61" s="10">
        <f>+$T61</f>
        <v>0</v>
      </c>
      <c r="AE61" s="10">
        <f>+AD61</f>
        <v>0</v>
      </c>
      <c r="AF61" s="10">
        <f>+AE61</f>
        <v>0</v>
      </c>
      <c r="AG61" s="10">
        <f t="shared" si="23"/>
        <v>0</v>
      </c>
      <c r="AH61" s="10">
        <f t="shared" si="21"/>
        <v>0</v>
      </c>
      <c r="AI61" s="10">
        <f t="shared" si="21"/>
        <v>0</v>
      </c>
      <c r="AJ61" s="10">
        <f t="shared" si="21"/>
        <v>0</v>
      </c>
      <c r="AK61" s="10">
        <f t="shared" si="22"/>
        <v>0</v>
      </c>
    </row>
    <row r="62" spans="1:37">
      <c r="A62" s="3"/>
      <c r="B62" s="226" t="s">
        <v>106</v>
      </c>
      <c r="C62" s="227"/>
      <c r="D62" s="163"/>
      <c r="E62" s="164"/>
      <c r="F62" s="9">
        <f t="shared" si="26"/>
        <v>0</v>
      </c>
      <c r="G62" s="158"/>
      <c r="H62"/>
      <c r="I62"/>
      <c r="J62" s="117" t="str">
        <f t="shared" si="24"/>
        <v>縮毛矯正材料</v>
      </c>
      <c r="K62" s="118"/>
      <c r="L62" s="9">
        <f t="shared" si="25"/>
        <v>0</v>
      </c>
      <c r="M62" s="164"/>
      <c r="N62" s="9">
        <f t="shared" si="27"/>
        <v>0</v>
      </c>
      <c r="O62" s="6"/>
      <c r="R62" s="1" t="s">
        <v>204</v>
      </c>
      <c r="S62" s="10">
        <f t="shared" si="18"/>
        <v>0</v>
      </c>
      <c r="T62" s="10">
        <f t="shared" si="19"/>
        <v>0</v>
      </c>
      <c r="U62" s="1"/>
      <c r="V62" s="1"/>
      <c r="W62" s="1"/>
      <c r="X62" s="1"/>
      <c r="Y62" s="10"/>
      <c r="Z62" s="10">
        <f>+$S62</f>
        <v>0</v>
      </c>
      <c r="AA62" s="10">
        <f>ROUNDDOWN((AE62-Z62)/5+Z62,0)</f>
        <v>0</v>
      </c>
      <c r="AB62" s="10">
        <f>ROUNDDOWN((AE62-Z62)/5+AA62,0)</f>
        <v>0</v>
      </c>
      <c r="AC62" s="10">
        <f>ROUNDDOWN((AE62-Z62)/5+AB62,0)</f>
        <v>0</v>
      </c>
      <c r="AD62" s="10">
        <f>ROUNDDOWN((AE62-Z62)/5+AC62,0)</f>
        <v>0</v>
      </c>
      <c r="AE62" s="10">
        <f>+$T62</f>
        <v>0</v>
      </c>
      <c r="AF62" s="10">
        <f>+AE62</f>
        <v>0</v>
      </c>
      <c r="AG62" s="10">
        <f t="shared" si="23"/>
        <v>0</v>
      </c>
      <c r="AH62" s="10">
        <f t="shared" si="21"/>
        <v>0</v>
      </c>
      <c r="AI62" s="10">
        <f t="shared" si="21"/>
        <v>0</v>
      </c>
      <c r="AJ62" s="10">
        <f t="shared" si="21"/>
        <v>0</v>
      </c>
      <c r="AK62" s="10">
        <f t="shared" si="22"/>
        <v>0</v>
      </c>
    </row>
    <row r="63" spans="1:37">
      <c r="A63" s="3"/>
      <c r="B63" s="226" t="s">
        <v>103</v>
      </c>
      <c r="C63" s="227"/>
      <c r="D63" s="163"/>
      <c r="E63" s="164"/>
      <c r="F63" s="9">
        <f t="shared" si="26"/>
        <v>0</v>
      </c>
      <c r="G63" s="158"/>
      <c r="H63"/>
      <c r="I63"/>
      <c r="J63" s="117" t="str">
        <f t="shared" si="24"/>
        <v>エクステ材料</v>
      </c>
      <c r="K63" s="118"/>
      <c r="L63" s="9">
        <f t="shared" si="25"/>
        <v>0</v>
      </c>
      <c r="M63" s="164"/>
      <c r="N63" s="9">
        <f t="shared" si="27"/>
        <v>0</v>
      </c>
      <c r="O63" s="6"/>
      <c r="R63" s="1" t="s">
        <v>205</v>
      </c>
      <c r="S63" s="10">
        <f t="shared" si="18"/>
        <v>0</v>
      </c>
      <c r="T63" s="10">
        <f t="shared" si="19"/>
        <v>0</v>
      </c>
      <c r="U63" s="1"/>
      <c r="V63" s="1"/>
      <c r="W63" s="1"/>
      <c r="X63" s="1"/>
      <c r="Y63" s="10"/>
      <c r="Z63" s="10"/>
      <c r="AA63" s="10">
        <f>+$S63</f>
        <v>0</v>
      </c>
      <c r="AB63" s="10">
        <f>ROUNDDOWN((AF63-AA63)/5+AA63,0)</f>
        <v>0</v>
      </c>
      <c r="AC63" s="10">
        <f>ROUNDDOWN((AF63-AA63)/5+AB63,0)</f>
        <v>0</v>
      </c>
      <c r="AD63" s="10">
        <f>ROUNDDOWN((AF63-AA63)/5+AC63,0)</f>
        <v>0</v>
      </c>
      <c r="AE63" s="10">
        <f>ROUNDDOWN((AF63-AA63)/5+AD63,0)</f>
        <v>0</v>
      </c>
      <c r="AF63" s="10">
        <f>+$T63</f>
        <v>0</v>
      </c>
      <c r="AG63" s="10">
        <f t="shared" si="23"/>
        <v>0</v>
      </c>
      <c r="AH63" s="10">
        <f t="shared" si="21"/>
        <v>0</v>
      </c>
      <c r="AI63" s="10">
        <f t="shared" si="21"/>
        <v>0</v>
      </c>
      <c r="AJ63" s="10">
        <f t="shared" si="21"/>
        <v>0</v>
      </c>
      <c r="AK63" s="10">
        <f t="shared" si="22"/>
        <v>0</v>
      </c>
    </row>
    <row r="64" spans="1:37">
      <c r="A64" s="3"/>
      <c r="B64" s="226" t="s">
        <v>104</v>
      </c>
      <c r="C64" s="227"/>
      <c r="D64" s="163"/>
      <c r="E64" s="164"/>
      <c r="F64" s="9">
        <f t="shared" si="26"/>
        <v>0</v>
      </c>
      <c r="G64" s="158"/>
      <c r="H64"/>
      <c r="I64"/>
      <c r="J64" s="117" t="str">
        <f t="shared" si="24"/>
        <v>まつ毛エクステ材料</v>
      </c>
      <c r="K64" s="118"/>
      <c r="L64" s="9">
        <f t="shared" si="25"/>
        <v>0</v>
      </c>
      <c r="M64" s="164"/>
      <c r="N64" s="9">
        <f t="shared" si="27"/>
        <v>0</v>
      </c>
      <c r="O64" s="6"/>
      <c r="R64" s="1" t="s">
        <v>206</v>
      </c>
      <c r="S64" s="10">
        <f t="shared" si="18"/>
        <v>0</v>
      </c>
      <c r="T64" s="10">
        <f t="shared" si="19"/>
        <v>0</v>
      </c>
      <c r="U64" s="1"/>
      <c r="V64" s="1"/>
      <c r="W64" s="1"/>
      <c r="X64" s="1"/>
      <c r="Y64" s="10"/>
      <c r="Z64" s="10"/>
      <c r="AA64" s="10"/>
      <c r="AB64" s="10">
        <f>+$S64</f>
        <v>0</v>
      </c>
      <c r="AC64" s="10">
        <f>ROUNDDOWN((AG64-AB64)/5+AB64,0)</f>
        <v>0</v>
      </c>
      <c r="AD64" s="10">
        <f>ROUNDDOWN((AG64-AB64)/5+AC64,0)</f>
        <v>0</v>
      </c>
      <c r="AE64" s="10">
        <f>ROUNDDOWN((AG64-AB64)/5+AD64,0)</f>
        <v>0</v>
      </c>
      <c r="AF64" s="10">
        <f>ROUNDDOWN((AG64-AB64)/5+AE64,0)</f>
        <v>0</v>
      </c>
      <c r="AG64" s="10">
        <f>+$T64</f>
        <v>0</v>
      </c>
      <c r="AH64" s="10">
        <f t="shared" si="21"/>
        <v>0</v>
      </c>
      <c r="AI64" s="10">
        <f t="shared" si="21"/>
        <v>0</v>
      </c>
      <c r="AJ64" s="10">
        <f t="shared" si="21"/>
        <v>0</v>
      </c>
      <c r="AK64" s="10">
        <f t="shared" si="22"/>
        <v>0</v>
      </c>
    </row>
    <row r="65" spans="1:37" ht="14.25" thickBot="1">
      <c r="A65" s="3"/>
      <c r="B65" s="228" t="s">
        <v>105</v>
      </c>
      <c r="C65" s="229"/>
      <c r="D65" s="165"/>
      <c r="E65" s="166"/>
      <c r="F65" s="8">
        <f t="shared" si="26"/>
        <v>0</v>
      </c>
      <c r="G65" s="168"/>
      <c r="H65"/>
      <c r="I65"/>
      <c r="J65" s="117" t="str">
        <f t="shared" si="24"/>
        <v>ネイル材料</v>
      </c>
      <c r="K65" s="118"/>
      <c r="L65" s="9">
        <f t="shared" si="25"/>
        <v>0</v>
      </c>
      <c r="M65" s="166"/>
      <c r="N65" s="8">
        <f t="shared" si="27"/>
        <v>0</v>
      </c>
      <c r="O65" s="6"/>
      <c r="R65" s="1" t="s">
        <v>207</v>
      </c>
      <c r="S65" s="10">
        <f t="shared" si="18"/>
        <v>0</v>
      </c>
      <c r="T65" s="10">
        <f t="shared" si="19"/>
        <v>0</v>
      </c>
      <c r="U65" s="1"/>
      <c r="V65" s="1"/>
      <c r="W65" s="1"/>
      <c r="X65" s="1"/>
      <c r="Y65" s="10"/>
      <c r="Z65" s="10"/>
      <c r="AA65" s="10"/>
      <c r="AB65" s="10"/>
      <c r="AC65" s="10">
        <f>+$S65</f>
        <v>0</v>
      </c>
      <c r="AD65" s="10">
        <f>ROUNDDOWN((AH65-AC65)/5+AC65,0)</f>
        <v>0</v>
      </c>
      <c r="AE65" s="10">
        <f>ROUNDDOWN((AH65-AC65)/5+AD65,0)</f>
        <v>0</v>
      </c>
      <c r="AF65" s="10">
        <f>ROUNDDOWN((AH65-AC65)/5+AE65,0)</f>
        <v>0</v>
      </c>
      <c r="AG65" s="10">
        <f>ROUNDDOWN((AH65-AC65)/5+AF65,0)</f>
        <v>0</v>
      </c>
      <c r="AH65" s="10">
        <f>+$T65</f>
        <v>0</v>
      </c>
      <c r="AI65" s="10">
        <f t="shared" si="21"/>
        <v>0</v>
      </c>
      <c r="AJ65" s="10">
        <f t="shared" si="21"/>
        <v>0</v>
      </c>
      <c r="AK65" s="10">
        <f t="shared" si="22"/>
        <v>0</v>
      </c>
    </row>
    <row r="66" spans="1:37" ht="14.25" thickTop="1">
      <c r="A66" s="3"/>
      <c r="B66" s="219" t="s">
        <v>129</v>
      </c>
      <c r="C66" s="220"/>
      <c r="D66" s="220"/>
      <c r="E66" s="221"/>
      <c r="F66" s="167">
        <v>0.1</v>
      </c>
      <c r="G66" s="114"/>
      <c r="H66"/>
      <c r="I66"/>
      <c r="J66" s="219" t="s">
        <v>129</v>
      </c>
      <c r="K66" s="220"/>
      <c r="L66" s="220"/>
      <c r="M66" s="221"/>
      <c r="N66" s="167">
        <v>0.1</v>
      </c>
      <c r="O66" s="6"/>
      <c r="R66" s="1" t="s">
        <v>208</v>
      </c>
      <c r="S66" s="10">
        <f t="shared" si="18"/>
        <v>0</v>
      </c>
      <c r="T66" s="10">
        <f t="shared" si="19"/>
        <v>0</v>
      </c>
      <c r="U66" s="1"/>
      <c r="V66" s="1"/>
      <c r="W66" s="1"/>
      <c r="X66" s="1"/>
      <c r="Y66" s="10"/>
      <c r="Z66" s="10"/>
      <c r="AA66" s="10"/>
      <c r="AB66" s="10"/>
      <c r="AC66" s="10"/>
      <c r="AD66" s="10">
        <f>+$S66</f>
        <v>0</v>
      </c>
      <c r="AE66" s="10">
        <f>ROUNDDOWN((AI66-AD66)/5+AD66,0)</f>
        <v>0</v>
      </c>
      <c r="AF66" s="10">
        <f>ROUNDDOWN((AI66-AD66)/5+AE66,0)</f>
        <v>0</v>
      </c>
      <c r="AG66" s="10">
        <f>ROUNDDOWN((AI66-AD66)/5+AF66,0)</f>
        <v>0</v>
      </c>
      <c r="AH66" s="10">
        <f>ROUNDDOWN((AI66-AD66)/5+AG66,0)</f>
        <v>0</v>
      </c>
      <c r="AI66" s="10">
        <f>+$T66</f>
        <v>0</v>
      </c>
      <c r="AJ66" s="10">
        <f t="shared" si="21"/>
        <v>0</v>
      </c>
      <c r="AK66" s="10">
        <f t="shared" si="22"/>
        <v>0</v>
      </c>
    </row>
    <row r="67" spans="1:37">
      <c r="A67" s="3"/>
      <c r="B67" s="222" t="s">
        <v>0</v>
      </c>
      <c r="C67" s="223"/>
      <c r="D67" s="223"/>
      <c r="E67" s="224"/>
      <c r="F67" s="55">
        <f>IF(F66=0,SUM(F59:F65),G50*F66)</f>
        <v>128574</v>
      </c>
      <c r="G67" s="1" t="s">
        <v>200</v>
      </c>
      <c r="H67"/>
      <c r="I67"/>
      <c r="J67" s="222" t="s">
        <v>0</v>
      </c>
      <c r="K67" s="223"/>
      <c r="L67" s="223"/>
      <c r="M67" s="224"/>
      <c r="N67" s="55">
        <f>IF(N66=0,SUM(N59:N65),O50*N66)</f>
        <v>171018</v>
      </c>
      <c r="O67" s="6"/>
      <c r="R67" s="1"/>
      <c r="S67" s="1"/>
      <c r="T67" s="1"/>
      <c r="U67" s="1"/>
      <c r="V67" s="1"/>
      <c r="W67" s="1"/>
      <c r="X67" s="1"/>
      <c r="Y67" s="10"/>
      <c r="Z67" s="10"/>
      <c r="AA67" s="10"/>
      <c r="AB67" s="10"/>
      <c r="AC67" s="10"/>
      <c r="AD67" s="10"/>
      <c r="AE67" s="10"/>
      <c r="AF67" s="10"/>
      <c r="AG67" s="10"/>
      <c r="AH67" s="10"/>
      <c r="AI67" s="10"/>
      <c r="AJ67" s="10"/>
      <c r="AK67" s="10"/>
    </row>
    <row r="68" spans="1:37">
      <c r="A68" s="3"/>
      <c r="C68" s="3"/>
      <c r="D68" s="3"/>
      <c r="E68" s="3"/>
      <c r="F68"/>
      <c r="G68"/>
      <c r="H68"/>
      <c r="I68"/>
      <c r="J68"/>
      <c r="K68"/>
      <c r="N68" s="6"/>
      <c r="O68" s="6"/>
      <c r="R68" s="1" t="s">
        <v>159</v>
      </c>
      <c r="S68" s="133">
        <f t="shared" ref="S68:AK68" si="28">SUM(S57:S67)</f>
        <v>128574</v>
      </c>
      <c r="T68" s="133">
        <f t="shared" si="28"/>
        <v>171018</v>
      </c>
      <c r="U68" s="133">
        <f t="shared" si="28"/>
        <v>0</v>
      </c>
      <c r="V68" s="133">
        <f t="shared" si="28"/>
        <v>128574</v>
      </c>
      <c r="W68" s="133">
        <f t="shared" si="28"/>
        <v>137062</v>
      </c>
      <c r="X68" s="133">
        <f t="shared" si="28"/>
        <v>145550</v>
      </c>
      <c r="Y68" s="133">
        <f t="shared" si="28"/>
        <v>154038</v>
      </c>
      <c r="Z68" s="133">
        <f t="shared" si="28"/>
        <v>162526</v>
      </c>
      <c r="AA68" s="133">
        <f t="shared" si="28"/>
        <v>171018</v>
      </c>
      <c r="AB68" s="133">
        <f t="shared" si="28"/>
        <v>171018</v>
      </c>
      <c r="AC68" s="133">
        <f t="shared" si="28"/>
        <v>171018</v>
      </c>
      <c r="AD68" s="133">
        <f t="shared" si="28"/>
        <v>171018</v>
      </c>
      <c r="AE68" s="133">
        <f t="shared" si="28"/>
        <v>171018</v>
      </c>
      <c r="AF68" s="133">
        <f t="shared" si="28"/>
        <v>171018</v>
      </c>
      <c r="AG68" s="133">
        <f t="shared" si="28"/>
        <v>171018</v>
      </c>
      <c r="AH68" s="133">
        <f t="shared" si="28"/>
        <v>171018</v>
      </c>
      <c r="AI68" s="133">
        <f t="shared" si="28"/>
        <v>171018</v>
      </c>
      <c r="AJ68" s="133">
        <f t="shared" si="28"/>
        <v>171018</v>
      </c>
      <c r="AK68" s="133">
        <f t="shared" si="28"/>
        <v>171018</v>
      </c>
    </row>
    <row r="69" spans="1:37">
      <c r="A69" s="3"/>
      <c r="C69" s="3"/>
      <c r="D69" s="3"/>
      <c r="E69" s="3"/>
      <c r="F69"/>
      <c r="G69"/>
      <c r="H69"/>
      <c r="I69"/>
      <c r="J69"/>
      <c r="K69"/>
      <c r="N69" s="6"/>
      <c r="O69" s="6"/>
    </row>
    <row r="70" spans="1:37">
      <c r="F70"/>
      <c r="G70"/>
      <c r="H70"/>
      <c r="I70"/>
      <c r="J70"/>
      <c r="K70"/>
      <c r="N70" s="6"/>
      <c r="O70" s="6"/>
    </row>
    <row r="71" spans="1:37">
      <c r="F71"/>
      <c r="G71"/>
      <c r="H71"/>
      <c r="I71"/>
      <c r="J71"/>
      <c r="K71"/>
      <c r="N71" s="6"/>
      <c r="O71" s="6"/>
    </row>
    <row r="72" spans="1:37">
      <c r="F72"/>
      <c r="G72"/>
      <c r="H72"/>
      <c r="I72"/>
      <c r="J72"/>
      <c r="K72"/>
      <c r="N72" s="6"/>
      <c r="O72" s="6"/>
    </row>
    <row r="73" spans="1:37">
      <c r="N73" s="6"/>
      <c r="O73" s="6"/>
    </row>
    <row r="74" spans="1:37">
      <c r="N74" s="6"/>
      <c r="O74" s="6"/>
    </row>
    <row r="75" spans="1:37">
      <c r="N75" s="6"/>
      <c r="O75" s="6"/>
    </row>
    <row r="76" spans="1:37">
      <c r="N76" s="6"/>
      <c r="O76" s="6"/>
    </row>
    <row r="77" spans="1:37">
      <c r="N77" s="6"/>
      <c r="O77" s="6"/>
    </row>
    <row r="78" spans="1:37">
      <c r="N78" s="6"/>
      <c r="O78" s="6"/>
    </row>
    <row r="79" spans="1:37">
      <c r="N79" s="6"/>
      <c r="O79" s="6"/>
    </row>
    <row r="80" spans="1:37">
      <c r="N80" s="6"/>
      <c r="O80" s="6"/>
    </row>
    <row r="81" spans="14:15">
      <c r="N81" s="6"/>
      <c r="O81" s="6"/>
    </row>
    <row r="82" spans="14:15">
      <c r="N82" s="6"/>
      <c r="O82" s="6"/>
    </row>
    <row r="83" spans="14:15">
      <c r="N83" s="6"/>
      <c r="O83" s="6"/>
    </row>
    <row r="84" spans="14:15">
      <c r="N84" s="6"/>
      <c r="O84" s="6"/>
    </row>
    <row r="85" spans="14:15">
      <c r="N85" s="6"/>
      <c r="O85" s="6"/>
    </row>
    <row r="86" spans="14:15">
      <c r="N86" s="6"/>
      <c r="O86" s="6"/>
    </row>
    <row r="87" spans="14:15">
      <c r="N87" s="6"/>
      <c r="O87" s="6"/>
    </row>
    <row r="88" spans="14:15">
      <c r="N88" s="6"/>
      <c r="O88" s="6"/>
    </row>
    <row r="89" spans="14:15">
      <c r="N89" s="6"/>
      <c r="O89" s="6"/>
    </row>
    <row r="90" spans="14:15">
      <c r="N90" s="6"/>
      <c r="O90" s="6"/>
    </row>
    <row r="91" spans="14:15">
      <c r="N91" s="6"/>
      <c r="O91" s="6"/>
    </row>
    <row r="92" spans="14:15">
      <c r="N92" s="6"/>
      <c r="O92" s="6"/>
    </row>
    <row r="93" spans="14:15">
      <c r="N93" s="6"/>
      <c r="O93" s="6"/>
    </row>
    <row r="94" spans="14:15">
      <c r="N94" s="6"/>
      <c r="O94" s="6"/>
    </row>
    <row r="95" spans="14:15">
      <c r="N95" s="6"/>
      <c r="O95" s="6"/>
    </row>
    <row r="96" spans="14:15">
      <c r="N96" s="6"/>
      <c r="O96" s="6"/>
    </row>
    <row r="97" spans="14:15">
      <c r="N97" s="6"/>
      <c r="O97" s="6"/>
    </row>
    <row r="98" spans="14:15">
      <c r="N98" s="6"/>
      <c r="O98" s="6"/>
    </row>
    <row r="99" spans="14:15">
      <c r="N99" s="6"/>
      <c r="O99" s="6"/>
    </row>
    <row r="100" spans="14:15">
      <c r="N100" s="6"/>
      <c r="O100" s="6"/>
    </row>
    <row r="101" spans="14:15">
      <c r="N101" s="6"/>
      <c r="O101" s="6"/>
    </row>
    <row r="102" spans="14:15">
      <c r="N102" s="6"/>
      <c r="O102" s="6"/>
    </row>
    <row r="103" spans="14:15">
      <c r="N103" s="6"/>
      <c r="O103" s="6"/>
    </row>
    <row r="104" spans="14:15">
      <c r="N104" s="6"/>
      <c r="O104" s="6"/>
    </row>
    <row r="105" spans="14:15">
      <c r="N105" s="6"/>
      <c r="O105" s="6"/>
    </row>
    <row r="106" spans="14:15">
      <c r="N106" s="6"/>
      <c r="O106" s="6"/>
    </row>
    <row r="107" spans="14:15">
      <c r="N107" s="6"/>
      <c r="O107" s="6"/>
    </row>
    <row r="108" spans="14:15">
      <c r="N108" s="6"/>
      <c r="O108" s="6"/>
    </row>
    <row r="109" spans="14:15">
      <c r="N109" s="6"/>
      <c r="O109" s="6"/>
    </row>
    <row r="110" spans="14:15">
      <c r="N110" s="6"/>
      <c r="O110" s="6"/>
    </row>
    <row r="111" spans="14:15">
      <c r="N111" s="6"/>
      <c r="O111" s="6"/>
    </row>
    <row r="112" spans="14:15">
      <c r="N112" s="6"/>
      <c r="O112" s="6"/>
    </row>
    <row r="113" spans="14:15">
      <c r="N113" s="6"/>
      <c r="O113" s="6"/>
    </row>
    <row r="114" spans="14:15">
      <c r="N114" s="6"/>
      <c r="O114" s="6"/>
    </row>
    <row r="115" spans="14:15">
      <c r="N115" s="6"/>
      <c r="O115" s="6"/>
    </row>
    <row r="116" spans="14:15">
      <c r="N116" s="6"/>
      <c r="O116" s="6"/>
    </row>
    <row r="117" spans="14:15">
      <c r="N117" s="6"/>
      <c r="O117" s="6"/>
    </row>
  </sheetData>
  <mergeCells count="74">
    <mergeCell ref="J7:K7"/>
    <mergeCell ref="B18:C18"/>
    <mergeCell ref="B19:C19"/>
    <mergeCell ref="B20:C20"/>
    <mergeCell ref="B23:C23"/>
    <mergeCell ref="B21:C21"/>
    <mergeCell ref="B22:C22"/>
    <mergeCell ref="B30:C30"/>
    <mergeCell ref="B31:C31"/>
    <mergeCell ref="B29:C29"/>
    <mergeCell ref="B7:C7"/>
    <mergeCell ref="D9:E9"/>
    <mergeCell ref="D10:E10"/>
    <mergeCell ref="D11:E11"/>
    <mergeCell ref="D12:E12"/>
    <mergeCell ref="D7:E7"/>
    <mergeCell ref="D8:E8"/>
    <mergeCell ref="B8:C12"/>
    <mergeCell ref="B24:C24"/>
    <mergeCell ref="B25:C25"/>
    <mergeCell ref="B26:C26"/>
    <mergeCell ref="B27:C27"/>
    <mergeCell ref="B28:C28"/>
    <mergeCell ref="B35:G35"/>
    <mergeCell ref="B36:C36"/>
    <mergeCell ref="B37:C37"/>
    <mergeCell ref="B38:C38"/>
    <mergeCell ref="B41:C41"/>
    <mergeCell ref="B39:C39"/>
    <mergeCell ref="B40:C40"/>
    <mergeCell ref="B50:C50"/>
    <mergeCell ref="J42:K42"/>
    <mergeCell ref="J43:K43"/>
    <mergeCell ref="J44:K44"/>
    <mergeCell ref="J45:K45"/>
    <mergeCell ref="J46:K46"/>
    <mergeCell ref="B42:C42"/>
    <mergeCell ref="B43:C43"/>
    <mergeCell ref="B44:C44"/>
    <mergeCell ref="B45:C45"/>
    <mergeCell ref="B46:C46"/>
    <mergeCell ref="B47:C47"/>
    <mergeCell ref="B48:C48"/>
    <mergeCell ref="B49:C49"/>
    <mergeCell ref="J35:O35"/>
    <mergeCell ref="J50:K50"/>
    <mergeCell ref="J52:K52"/>
    <mergeCell ref="J47:K47"/>
    <mergeCell ref="J48:K48"/>
    <mergeCell ref="J49:K49"/>
    <mergeCell ref="J36:K36"/>
    <mergeCell ref="J37:K37"/>
    <mergeCell ref="J38:K38"/>
    <mergeCell ref="J41:K41"/>
    <mergeCell ref="J39:K39"/>
    <mergeCell ref="J40:K40"/>
    <mergeCell ref="J53:K53"/>
    <mergeCell ref="B52:C52"/>
    <mergeCell ref="B53:C53"/>
    <mergeCell ref="B54:C54"/>
    <mergeCell ref="J54:K54"/>
    <mergeCell ref="B66:E66"/>
    <mergeCell ref="J66:M66"/>
    <mergeCell ref="B67:E67"/>
    <mergeCell ref="J58:K58"/>
    <mergeCell ref="J67:M67"/>
    <mergeCell ref="B63:C63"/>
    <mergeCell ref="B64:C64"/>
    <mergeCell ref="B61:C61"/>
    <mergeCell ref="B62:C62"/>
    <mergeCell ref="B65:C65"/>
    <mergeCell ref="B60:C60"/>
    <mergeCell ref="B59:C59"/>
    <mergeCell ref="B58:C58"/>
  </mergeCells>
  <phoneticPr fontId="2"/>
  <conditionalFormatting sqref="D10:E10 D8:E8">
    <cfRule type="expression" dxfId="35" priority="6">
      <formula>$D$10=""</formula>
    </cfRule>
  </conditionalFormatting>
  <conditionalFormatting sqref="D12:E12">
    <cfRule type="expression" dxfId="34" priority="5">
      <formula>$D$12=""</formula>
    </cfRule>
  </conditionalFormatting>
  <conditionalFormatting sqref="J8:K9">
    <cfRule type="expression" dxfId="33" priority="4">
      <formula>J8=""</formula>
    </cfRule>
  </conditionalFormatting>
  <conditionalFormatting sqref="J10:J14">
    <cfRule type="expression" dxfId="32" priority="2">
      <formula>J10=""</formula>
    </cfRule>
  </conditionalFormatting>
  <conditionalFormatting sqref="K10:K14">
    <cfRule type="expression" dxfId="31" priority="1">
      <formula>K10=""</formula>
    </cfRule>
  </conditionalFormatting>
  <dataValidations count="4">
    <dataValidation type="list" allowBlank="1" showInputMessage="1" showErrorMessage="1" sqref="H8:H14">
      <formula1>"○,休"</formula1>
    </dataValidation>
    <dataValidation type="list" allowBlank="1" showInputMessage="1" showErrorMessage="1" sqref="I8:I14">
      <formula1>"通常,延長,時短,－"</formula1>
    </dataValidation>
    <dataValidation type="list" allowBlank="1" showInputMessage="1" showErrorMessage="1" sqref="H37:H49">
      <formula1>$R$37:$R$46</formula1>
    </dataValidation>
    <dataValidation type="list" allowBlank="1" showInputMessage="1" showErrorMessage="1" sqref="G67 G59:G65">
      <formula1>$R$57:$R$66</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1"/>
  <sheetViews>
    <sheetView showGridLines="0" zoomScaleNormal="100" zoomScaleSheetLayoutView="115" workbookViewId="0">
      <selection activeCell="O25" sqref="O25"/>
    </sheetView>
  </sheetViews>
  <sheetFormatPr defaultRowHeight="13.5"/>
  <cols>
    <col min="1" max="1" width="2.875" customWidth="1"/>
    <col min="2" max="2" width="16.875" bestFit="1" customWidth="1"/>
    <col min="3" max="3" width="10.125" customWidth="1"/>
    <col min="4" max="4" width="9.375" bestFit="1" customWidth="1"/>
    <col min="5" max="5" width="8.125" customWidth="1"/>
    <col min="6" max="6" width="16.875" bestFit="1" customWidth="1"/>
    <col min="7" max="7" width="12.125" bestFit="1" customWidth="1"/>
    <col min="8" max="8" width="9" bestFit="1" customWidth="1"/>
    <col min="9" max="9" width="8.125" bestFit="1" customWidth="1"/>
    <col min="10" max="10" width="0.125" customWidth="1"/>
    <col min="11" max="11" width="8.125" customWidth="1"/>
  </cols>
  <sheetData>
    <row r="2" spans="1:11" ht="18.75">
      <c r="A2" s="5" t="s">
        <v>16</v>
      </c>
      <c r="K2" s="39"/>
    </row>
    <row r="3" spans="1:11" ht="18.75">
      <c r="B3" s="5"/>
    </row>
    <row r="4" spans="1:11">
      <c r="B4" s="3" t="s">
        <v>15</v>
      </c>
    </row>
    <row r="5" spans="1:11">
      <c r="B5" s="146" t="s">
        <v>4</v>
      </c>
      <c r="C5" s="146" t="s">
        <v>3</v>
      </c>
      <c r="D5" s="150" t="s">
        <v>14</v>
      </c>
    </row>
    <row r="6" spans="1:11">
      <c r="B6" s="158" t="s">
        <v>117</v>
      </c>
      <c r="C6" s="151" t="s">
        <v>1</v>
      </c>
      <c r="D6" s="174">
        <v>300000</v>
      </c>
    </row>
    <row r="7" spans="1:11">
      <c r="B7" s="158" t="s">
        <v>118</v>
      </c>
      <c r="C7" s="151" t="s">
        <v>1</v>
      </c>
      <c r="D7" s="174">
        <v>280000</v>
      </c>
    </row>
    <row r="8" spans="1:11">
      <c r="B8" s="158" t="s">
        <v>116</v>
      </c>
      <c r="C8" s="151" t="s">
        <v>1</v>
      </c>
      <c r="D8" s="174">
        <v>160000</v>
      </c>
    </row>
    <row r="9" spans="1:11">
      <c r="C9" s="4"/>
    </row>
    <row r="10" spans="1:11" ht="14.25">
      <c r="B10" s="246" t="s">
        <v>66</v>
      </c>
      <c r="C10" s="246"/>
      <c r="D10" s="246"/>
      <c r="F10" s="246" t="s">
        <v>67</v>
      </c>
      <c r="G10" s="246"/>
      <c r="H10" s="246"/>
    </row>
    <row r="11" spans="1:11">
      <c r="B11" s="146" t="s">
        <v>4</v>
      </c>
      <c r="C11" s="149" t="s">
        <v>111</v>
      </c>
      <c r="D11" s="146" t="s">
        <v>2</v>
      </c>
      <c r="F11" s="146" t="s">
        <v>4</v>
      </c>
      <c r="G11" s="149" t="s">
        <v>111</v>
      </c>
      <c r="H11" s="146" t="s">
        <v>2</v>
      </c>
    </row>
    <row r="12" spans="1:11">
      <c r="B12" s="1" t="str">
        <f>B6</f>
        <v>スタイリスト1</v>
      </c>
      <c r="C12" s="175">
        <v>0</v>
      </c>
      <c r="D12" s="48">
        <f>$D6*C12</f>
        <v>0</v>
      </c>
      <c r="F12" s="1" t="str">
        <f>B6</f>
        <v>スタイリスト1</v>
      </c>
      <c r="G12" s="175">
        <v>0</v>
      </c>
      <c r="H12" s="48">
        <f>$D6*G12</f>
        <v>0</v>
      </c>
    </row>
    <row r="13" spans="1:11">
      <c r="B13" s="1" t="str">
        <f t="shared" ref="B13:B14" si="0">B7</f>
        <v>スタイリスト2</v>
      </c>
      <c r="C13" s="175">
        <v>1</v>
      </c>
      <c r="D13" s="48">
        <f>$D7*C13</f>
        <v>280000</v>
      </c>
      <c r="F13" s="1" t="str">
        <f t="shared" ref="F13:F14" si="1">B7</f>
        <v>スタイリスト2</v>
      </c>
      <c r="G13" s="175">
        <v>2</v>
      </c>
      <c r="H13" s="48">
        <f>$D7*G13</f>
        <v>560000</v>
      </c>
    </row>
    <row r="14" spans="1:11">
      <c r="B14" s="1" t="str">
        <f t="shared" si="0"/>
        <v>アシスタント</v>
      </c>
      <c r="C14" s="175">
        <v>0</v>
      </c>
      <c r="D14" s="48">
        <f>$D8*C14</f>
        <v>0</v>
      </c>
      <c r="F14" s="1" t="str">
        <f t="shared" si="1"/>
        <v>アシスタント</v>
      </c>
      <c r="G14" s="175">
        <v>0</v>
      </c>
      <c r="H14" s="48">
        <f>$D8*G14</f>
        <v>0</v>
      </c>
    </row>
    <row r="15" spans="1:11">
      <c r="B15" s="14" t="s">
        <v>0</v>
      </c>
      <c r="C15" s="21">
        <f>SUM(C12:C14)</f>
        <v>1</v>
      </c>
      <c r="D15" s="49">
        <f>SUM(D12:D14)</f>
        <v>280000</v>
      </c>
      <c r="E15" s="22"/>
      <c r="F15" s="14" t="s">
        <v>0</v>
      </c>
      <c r="G15" s="21">
        <f>SUM(G12:G14)</f>
        <v>2</v>
      </c>
      <c r="H15" s="49">
        <f>SUM(H12:H14)</f>
        <v>560000</v>
      </c>
    </row>
    <row r="16" spans="1:11">
      <c r="B16" s="20"/>
      <c r="C16" s="20"/>
      <c r="D16" s="22"/>
      <c r="E16" s="22"/>
      <c r="F16" s="23"/>
      <c r="G16" s="15"/>
      <c r="H16" s="24"/>
      <c r="I16" s="24"/>
    </row>
    <row r="17" spans="2:9">
      <c r="B17" s="40"/>
      <c r="C17" s="40"/>
      <c r="D17" s="22"/>
      <c r="E17" s="22"/>
      <c r="F17" s="23"/>
      <c r="G17" s="15"/>
      <c r="H17" s="24"/>
      <c r="I17" s="24"/>
    </row>
    <row r="18" spans="2:9">
      <c r="B18" s="20"/>
      <c r="C18" s="20"/>
      <c r="D18" s="22"/>
      <c r="E18" s="22"/>
      <c r="F18" s="23"/>
      <c r="G18" s="15"/>
      <c r="H18" s="24"/>
      <c r="I18" s="24"/>
    </row>
    <row r="19" spans="2:9">
      <c r="B19" s="20"/>
      <c r="C19" s="20"/>
      <c r="D19" s="22"/>
      <c r="E19" s="22"/>
      <c r="F19" s="23"/>
      <c r="G19" s="15"/>
      <c r="H19" s="24"/>
      <c r="I19" s="24"/>
    </row>
    <row r="20" spans="2:9">
      <c r="B20" s="20"/>
      <c r="C20" s="20"/>
      <c r="D20" s="22"/>
      <c r="E20" s="22"/>
      <c r="F20" s="23"/>
      <c r="G20" s="15"/>
      <c r="H20" s="24"/>
      <c r="I20" s="24"/>
    </row>
    <row r="21" spans="2:9">
      <c r="B21" s="20"/>
      <c r="C21" s="20"/>
      <c r="D21" s="22"/>
      <c r="E21" s="22"/>
      <c r="F21" s="23"/>
      <c r="G21" s="15"/>
      <c r="H21" s="24"/>
      <c r="I21" s="24"/>
    </row>
  </sheetData>
  <mergeCells count="2">
    <mergeCell ref="F10:H10"/>
    <mergeCell ref="B10:D10"/>
  </mergeCells>
  <phoneticPr fontId="2"/>
  <pageMargins left="0.7" right="0.7" top="0.75" bottom="0.75" header="0.3" footer="0.3"/>
  <pageSetup paperSize="9"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zoomScaleSheetLayoutView="100" workbookViewId="0">
      <selection activeCell="D32" sqref="D32"/>
    </sheetView>
  </sheetViews>
  <sheetFormatPr defaultRowHeight="13.5"/>
  <cols>
    <col min="1" max="1" width="5.375" customWidth="1"/>
    <col min="2" max="2" width="4.25" customWidth="1"/>
    <col min="3" max="3" width="13.875" customWidth="1"/>
    <col min="4" max="4" width="21.875" style="6" customWidth="1"/>
    <col min="5" max="5" width="12.5" customWidth="1"/>
    <col min="6" max="6" width="11" style="6" bestFit="1" customWidth="1"/>
  </cols>
  <sheetData>
    <row r="1" spans="1:4">
      <c r="A1" s="248" t="s">
        <v>152</v>
      </c>
      <c r="B1" s="248"/>
      <c r="C1" s="248"/>
      <c r="D1" s="248"/>
    </row>
    <row r="2" spans="1:4">
      <c r="A2" s="248"/>
      <c r="B2" s="248"/>
      <c r="C2" s="248"/>
      <c r="D2" s="248"/>
    </row>
    <row r="3" spans="1:4">
      <c r="B3" s="152" t="s">
        <v>153</v>
      </c>
      <c r="C3" s="153"/>
      <c r="D3" s="146" t="s">
        <v>14</v>
      </c>
    </row>
    <row r="4" spans="1:4">
      <c r="B4" s="154"/>
      <c r="C4" s="158" t="s">
        <v>154</v>
      </c>
      <c r="D4" s="10">
        <v>500000</v>
      </c>
    </row>
    <row r="5" spans="1:4">
      <c r="B5" s="154"/>
      <c r="C5" s="158" t="s">
        <v>155</v>
      </c>
      <c r="D5" s="10">
        <v>250000</v>
      </c>
    </row>
    <row r="6" spans="1:4">
      <c r="B6" s="154"/>
      <c r="C6" s="158" t="s">
        <v>156</v>
      </c>
      <c r="D6" s="10">
        <v>500000</v>
      </c>
    </row>
    <row r="7" spans="1:4">
      <c r="B7" s="154"/>
      <c r="C7" s="158" t="s">
        <v>157</v>
      </c>
      <c r="D7" s="10">
        <v>250000</v>
      </c>
    </row>
    <row r="8" spans="1:4">
      <c r="B8" s="155"/>
      <c r="C8" s="158" t="s">
        <v>41</v>
      </c>
      <c r="D8" s="10">
        <v>100000</v>
      </c>
    </row>
    <row r="9" spans="1:4">
      <c r="B9" s="247" t="s">
        <v>176</v>
      </c>
      <c r="C9" s="247"/>
      <c r="D9" s="10">
        <f>SUM(D4:D8)</f>
        <v>1600000</v>
      </c>
    </row>
    <row r="11" spans="1:4">
      <c r="B11" s="156" t="s">
        <v>158</v>
      </c>
      <c r="C11" s="157"/>
      <c r="D11" s="146" t="s">
        <v>14</v>
      </c>
    </row>
    <row r="12" spans="1:4">
      <c r="B12" s="154"/>
      <c r="C12" s="158" t="s">
        <v>148</v>
      </c>
      <c r="D12" s="10">
        <v>4000000</v>
      </c>
    </row>
    <row r="13" spans="1:4">
      <c r="B13" s="154"/>
      <c r="C13" s="158" t="s">
        <v>160</v>
      </c>
      <c r="D13" s="10">
        <v>1100000</v>
      </c>
    </row>
    <row r="14" spans="1:4">
      <c r="B14" s="154"/>
      <c r="C14" s="158" t="s">
        <v>161</v>
      </c>
      <c r="D14" s="10">
        <v>800000</v>
      </c>
    </row>
    <row r="15" spans="1:4">
      <c r="B15" s="154"/>
      <c r="C15" s="158" t="s">
        <v>162</v>
      </c>
      <c r="D15" s="10">
        <v>400000</v>
      </c>
    </row>
    <row r="16" spans="1:4">
      <c r="B16" s="154"/>
      <c r="C16" s="158" t="s">
        <v>163</v>
      </c>
      <c r="D16" s="10">
        <v>100000</v>
      </c>
    </row>
    <row r="17" spans="2:4">
      <c r="B17" s="154"/>
      <c r="C17" s="158"/>
      <c r="D17" s="10"/>
    </row>
    <row r="18" spans="2:4">
      <c r="B18" s="154"/>
      <c r="C18" s="158"/>
      <c r="D18" s="10"/>
    </row>
    <row r="19" spans="2:4">
      <c r="B19" s="154"/>
      <c r="C19" s="158"/>
      <c r="D19" s="10"/>
    </row>
    <row r="20" spans="2:4">
      <c r="B20" s="154"/>
      <c r="C20" s="158"/>
      <c r="D20" s="10"/>
    </row>
    <row r="21" spans="2:4">
      <c r="B21" s="155"/>
      <c r="C21" s="158"/>
      <c r="D21" s="10"/>
    </row>
    <row r="22" spans="2:4">
      <c r="B22" s="247" t="s">
        <v>176</v>
      </c>
      <c r="C22" s="247"/>
      <c r="D22" s="10">
        <f>SUM(D12:D21)</f>
        <v>6400000</v>
      </c>
    </row>
    <row r="24" spans="2:4">
      <c r="B24" s="152" t="s">
        <v>215</v>
      </c>
      <c r="C24" s="153"/>
      <c r="D24" s="146" t="s">
        <v>14</v>
      </c>
    </row>
    <row r="25" spans="2:4">
      <c r="B25" s="154"/>
      <c r="C25" s="1" t="s">
        <v>213</v>
      </c>
      <c r="D25" s="10">
        <f>SUM(D5:D8)</f>
        <v>1100000</v>
      </c>
    </row>
    <row r="26" spans="2:4">
      <c r="B26" s="154"/>
      <c r="C26" s="158" t="s">
        <v>216</v>
      </c>
      <c r="D26" s="10">
        <v>300000</v>
      </c>
    </row>
    <row r="27" spans="2:4">
      <c r="B27" s="154"/>
      <c r="C27" s="158"/>
      <c r="D27" s="10"/>
    </row>
    <row r="28" spans="2:4">
      <c r="B28" s="154"/>
      <c r="C28" s="158"/>
      <c r="D28" s="10"/>
    </row>
    <row r="29" spans="2:4">
      <c r="B29" s="155"/>
      <c r="C29" s="158"/>
      <c r="D29" s="10"/>
    </row>
    <row r="30" spans="2:4">
      <c r="B30" s="247" t="s">
        <v>176</v>
      </c>
      <c r="C30" s="247"/>
      <c r="D30" s="10">
        <f>SUM(D25:D29)</f>
        <v>1400000</v>
      </c>
    </row>
    <row r="32" spans="2:4">
      <c r="B32" s="247" t="s">
        <v>177</v>
      </c>
      <c r="C32" s="247"/>
      <c r="D32" s="10">
        <f>+D22+D9+D30</f>
        <v>9400000</v>
      </c>
    </row>
  </sheetData>
  <mergeCells count="5">
    <mergeCell ref="B9:C9"/>
    <mergeCell ref="B22:C22"/>
    <mergeCell ref="B32:C32"/>
    <mergeCell ref="B30:C30"/>
    <mergeCell ref="A1:D2"/>
  </mergeCells>
  <phoneticPr fontId="2"/>
  <pageMargins left="0.7" right="0.7" top="0.75" bottom="0.75" header="0.3" footer="0.3"/>
  <pageSetup paperSize="9"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4"/>
  <sheetViews>
    <sheetView showGridLines="0" workbookViewId="0">
      <selection activeCell="F24" sqref="F24"/>
    </sheetView>
  </sheetViews>
  <sheetFormatPr defaultRowHeight="17.25" customHeight="1"/>
  <cols>
    <col min="1" max="1" width="6.5" customWidth="1"/>
    <col min="2" max="2" width="15.375" customWidth="1"/>
    <col min="3" max="3" width="16.625" customWidth="1"/>
    <col min="4" max="4" width="13.875" customWidth="1"/>
    <col min="5" max="5" width="13.5" customWidth="1"/>
    <col min="6" max="6" width="12.25" customWidth="1"/>
    <col min="7" max="7" width="12.25" style="6" customWidth="1"/>
    <col min="8" max="8" width="13.875" customWidth="1"/>
    <col min="9" max="13" width="13.125" style="6" customWidth="1"/>
  </cols>
  <sheetData>
    <row r="1" spans="1:35" ht="17.25" customHeight="1">
      <c r="A1" s="248" t="s">
        <v>143</v>
      </c>
      <c r="B1" s="248"/>
      <c r="C1" s="248"/>
    </row>
    <row r="2" spans="1:35" ht="17.25" customHeight="1">
      <c r="A2" s="248"/>
      <c r="B2" s="248"/>
      <c r="C2" s="248"/>
    </row>
    <row r="4" spans="1:35" ht="34.5" customHeight="1">
      <c r="B4" s="176" t="s">
        <v>144</v>
      </c>
      <c r="C4" s="176" t="s">
        <v>145</v>
      </c>
      <c r="D4" s="176" t="s">
        <v>146</v>
      </c>
      <c r="E4" s="176" t="s">
        <v>150</v>
      </c>
      <c r="F4" s="176" t="s">
        <v>147</v>
      </c>
      <c r="G4" s="177" t="s">
        <v>178</v>
      </c>
      <c r="H4" s="176" t="s">
        <v>217</v>
      </c>
      <c r="I4" s="177" t="s">
        <v>218</v>
      </c>
      <c r="J4" s="177" t="s">
        <v>219</v>
      </c>
      <c r="K4" s="177" t="s">
        <v>222</v>
      </c>
      <c r="L4" s="177" t="s">
        <v>223</v>
      </c>
      <c r="M4" s="177" t="s">
        <v>220</v>
      </c>
      <c r="AE4" s="124" t="s">
        <v>166</v>
      </c>
    </row>
    <row r="5" spans="1:35" ht="17.25" customHeight="1">
      <c r="B5" s="115" t="str">
        <f>IF(⑤初期投資一覧表!C12="","",⑤初期投資一覧表!C12)</f>
        <v>内装設備</v>
      </c>
      <c r="C5" s="120">
        <f>IF(⑤初期投資一覧表!D12="",0,⑤初期投資一覧表!D12)</f>
        <v>4000000</v>
      </c>
      <c r="D5" s="115" t="s">
        <v>167</v>
      </c>
      <c r="E5" s="151">
        <v>2</v>
      </c>
      <c r="F5" s="112">
        <f t="shared" ref="F5:F15" si="0">+IF(OR(D5="",E5=""),0,IF(D5="定率法",VLOOKUP(E5,$AG$5:$AI$103,2,0),VLOOKUP(E5,$AG$5:$AI$103,3,0)))</f>
        <v>1</v>
      </c>
      <c r="G5" s="10">
        <f>IF(F5=0,0,①基礎情報!$C$6)</f>
        <v>12</v>
      </c>
      <c r="H5" s="113">
        <f>IF(F5=0,0,ROUNDDOWN(C5*F5/12,0))</f>
        <v>333333</v>
      </c>
      <c r="I5" s="10">
        <f>+H5*G5</f>
        <v>3999996</v>
      </c>
      <c r="J5" s="10">
        <f>+C5-I5</f>
        <v>4</v>
      </c>
      <c r="K5" s="10">
        <f t="shared" ref="K5:K15" si="1">IF(D5="定率法",IF(E5=2,ROUNDDOWN((J5-1)/12,0),ROUNDDOWN(J5*F5/12,0)),H5)</f>
        <v>0</v>
      </c>
      <c r="L5" s="10">
        <f t="shared" ref="L5:L15" si="2">+K5*12</f>
        <v>0</v>
      </c>
      <c r="M5" s="10">
        <f>+J5-K5*12</f>
        <v>4</v>
      </c>
      <c r="AE5" t="s">
        <v>167</v>
      </c>
      <c r="AG5" s="121"/>
      <c r="AH5" t="s">
        <v>164</v>
      </c>
      <c r="AI5" t="s">
        <v>165</v>
      </c>
    </row>
    <row r="6" spans="1:35" ht="17.25" customHeight="1">
      <c r="B6" s="115" t="str">
        <f>IF(⑤初期投資一覧表!C13="","",⑤初期投資一覧表!C13)</f>
        <v>電気設備</v>
      </c>
      <c r="C6" s="120">
        <f>IF(⑤初期投資一覧表!D13="",0,⑤初期投資一覧表!D13)</f>
        <v>1100000</v>
      </c>
      <c r="D6" s="115" t="s">
        <v>167</v>
      </c>
      <c r="E6" s="151">
        <v>15</v>
      </c>
      <c r="F6" s="112">
        <f t="shared" si="0"/>
        <v>0.13300000000000001</v>
      </c>
      <c r="G6" s="10">
        <f>IF(F6=0,0,①基礎情報!$C$6)</f>
        <v>12</v>
      </c>
      <c r="H6" s="113">
        <f t="shared" ref="H6:H14" si="3">IF(F6=0,0,ROUNDDOWN(C6*F6/12,0))</f>
        <v>12191</v>
      </c>
      <c r="I6" s="10">
        <f t="shared" ref="I6:I14" si="4">+H6*G6</f>
        <v>146292</v>
      </c>
      <c r="J6" s="10">
        <f t="shared" ref="J6:J14" si="5">+C6-I6</f>
        <v>953708</v>
      </c>
      <c r="K6" s="10">
        <f t="shared" si="1"/>
        <v>10570</v>
      </c>
      <c r="L6" s="10">
        <f t="shared" si="2"/>
        <v>126840</v>
      </c>
      <c r="M6" s="10">
        <f>+J6-K6*12</f>
        <v>826868</v>
      </c>
      <c r="AE6" t="s">
        <v>168</v>
      </c>
      <c r="AG6" s="121">
        <v>2</v>
      </c>
      <c r="AH6" s="121">
        <v>1</v>
      </c>
      <c r="AI6" s="122">
        <v>0.5</v>
      </c>
    </row>
    <row r="7" spans="1:35" ht="17.25" customHeight="1">
      <c r="B7" s="115" t="str">
        <f>IF(⑤初期投資一覧表!C14="","",⑤初期投資一覧表!C14)</f>
        <v>空調設備</v>
      </c>
      <c r="C7" s="120">
        <f>IF(⑤初期投資一覧表!D14="",0,⑤初期投資一覧表!D14)</f>
        <v>800000</v>
      </c>
      <c r="D7" s="115" t="s">
        <v>149</v>
      </c>
      <c r="E7" s="151">
        <v>18</v>
      </c>
      <c r="F7" s="112">
        <f t="shared" si="0"/>
        <v>5.6000000000000001E-2</v>
      </c>
      <c r="G7" s="10">
        <f>IF(F7=0,0,①基礎情報!$C$6)</f>
        <v>12</v>
      </c>
      <c r="H7" s="113">
        <f t="shared" si="3"/>
        <v>3733</v>
      </c>
      <c r="I7" s="10">
        <f t="shared" si="4"/>
        <v>44796</v>
      </c>
      <c r="J7" s="10">
        <f t="shared" si="5"/>
        <v>755204</v>
      </c>
      <c r="K7" s="10">
        <f t="shared" si="1"/>
        <v>3733</v>
      </c>
      <c r="L7" s="10">
        <f t="shared" si="2"/>
        <v>44796</v>
      </c>
      <c r="M7" s="10">
        <f>+J7-K7*12</f>
        <v>710408</v>
      </c>
      <c r="AG7" s="121">
        <v>3</v>
      </c>
      <c r="AH7" s="121">
        <v>0.66700000000000004</v>
      </c>
      <c r="AI7" s="123">
        <v>0.33400000000000002</v>
      </c>
    </row>
    <row r="8" spans="1:35" ht="17.25" customHeight="1">
      <c r="B8" s="115" t="str">
        <f>IF(⑤初期投資一覧表!C15="","",⑤初期投資一覧表!C15)</f>
        <v>パソコン</v>
      </c>
      <c r="C8" s="120">
        <f>IF(⑤初期投資一覧表!D15="",0,⑤初期投資一覧表!D15)</f>
        <v>400000</v>
      </c>
      <c r="D8" s="115" t="s">
        <v>149</v>
      </c>
      <c r="E8" s="151">
        <v>4</v>
      </c>
      <c r="F8" s="112">
        <f t="shared" si="0"/>
        <v>0.25</v>
      </c>
      <c r="G8" s="10">
        <f>IF(F8=0,0,①基礎情報!$C$6)</f>
        <v>12</v>
      </c>
      <c r="H8" s="113">
        <f t="shared" si="3"/>
        <v>8333</v>
      </c>
      <c r="I8" s="10">
        <f t="shared" si="4"/>
        <v>99996</v>
      </c>
      <c r="J8" s="10">
        <f t="shared" si="5"/>
        <v>300004</v>
      </c>
      <c r="K8" s="10">
        <f t="shared" si="1"/>
        <v>8333</v>
      </c>
      <c r="L8" s="10">
        <f t="shared" si="2"/>
        <v>99996</v>
      </c>
      <c r="M8" s="10">
        <f>+J8-K8*12</f>
        <v>200008</v>
      </c>
      <c r="AG8" s="121">
        <v>4</v>
      </c>
      <c r="AH8" s="121">
        <v>0.5</v>
      </c>
      <c r="AI8" s="122">
        <v>0.25</v>
      </c>
    </row>
    <row r="9" spans="1:35" ht="17.25" customHeight="1">
      <c r="B9" s="115" t="str">
        <f>IF(⑤初期投資一覧表!C16="","",⑤初期投資一覧表!C16)</f>
        <v>プリンター</v>
      </c>
      <c r="C9" s="120">
        <f>IF(⑤初期投資一覧表!D16="",0,⑤初期投資一覧表!D16)</f>
        <v>100000</v>
      </c>
      <c r="D9" s="115" t="s">
        <v>149</v>
      </c>
      <c r="E9" s="151">
        <v>4</v>
      </c>
      <c r="F9" s="112">
        <f t="shared" si="0"/>
        <v>0.25</v>
      </c>
      <c r="G9" s="10">
        <f>IF(F9=0,0,①基礎情報!$C$6)</f>
        <v>12</v>
      </c>
      <c r="H9" s="113">
        <f t="shared" si="3"/>
        <v>2083</v>
      </c>
      <c r="I9" s="10">
        <f t="shared" si="4"/>
        <v>24996</v>
      </c>
      <c r="J9" s="10">
        <f t="shared" si="5"/>
        <v>75004</v>
      </c>
      <c r="K9" s="10">
        <f t="shared" si="1"/>
        <v>2083</v>
      </c>
      <c r="L9" s="10">
        <f t="shared" si="2"/>
        <v>24996</v>
      </c>
      <c r="M9" s="10">
        <f>+J9-K9*12</f>
        <v>50008</v>
      </c>
      <c r="AG9" s="121">
        <v>5</v>
      </c>
      <c r="AH9" s="121">
        <v>0.4</v>
      </c>
      <c r="AI9" s="123">
        <v>0.2</v>
      </c>
    </row>
    <row r="10" spans="1:35" ht="17.25" customHeight="1">
      <c r="B10" s="115" t="str">
        <f>IF(⑤初期投資一覧表!C17="","",⑤初期投資一覧表!C17)</f>
        <v/>
      </c>
      <c r="C10" s="120">
        <f>IF(⑤初期投資一覧表!D17="",0,⑤初期投資一覧表!D17)</f>
        <v>0</v>
      </c>
      <c r="D10" s="115" t="s">
        <v>149</v>
      </c>
      <c r="E10" s="158"/>
      <c r="F10" s="112">
        <f t="shared" si="0"/>
        <v>0</v>
      </c>
      <c r="G10" s="10">
        <f>IF(F10=0,0,①基礎情報!$C$6)</f>
        <v>0</v>
      </c>
      <c r="H10" s="113">
        <f t="shared" si="3"/>
        <v>0</v>
      </c>
      <c r="I10" s="10">
        <f t="shared" si="4"/>
        <v>0</v>
      </c>
      <c r="J10" s="10">
        <f t="shared" si="5"/>
        <v>0</v>
      </c>
      <c r="K10" s="10">
        <f t="shared" si="1"/>
        <v>0</v>
      </c>
      <c r="L10" s="10">
        <f t="shared" si="2"/>
        <v>0</v>
      </c>
      <c r="M10" s="10">
        <f t="shared" ref="M10:M14" si="6">+J10-K10*12</f>
        <v>0</v>
      </c>
      <c r="AG10" s="121">
        <v>6</v>
      </c>
      <c r="AH10" s="121">
        <v>0.33300000000000002</v>
      </c>
      <c r="AI10" s="122">
        <v>0.16700000000000001</v>
      </c>
    </row>
    <row r="11" spans="1:35" ht="17.25" customHeight="1">
      <c r="B11" s="115" t="str">
        <f>IF(⑤初期投資一覧表!C18="","",⑤初期投資一覧表!C18)</f>
        <v/>
      </c>
      <c r="C11" s="120">
        <f>IF(⑤初期投資一覧表!D18="",0,⑤初期投資一覧表!D18)</f>
        <v>0</v>
      </c>
      <c r="D11" s="115" t="s">
        <v>149</v>
      </c>
      <c r="E11" s="158"/>
      <c r="F11" s="112">
        <f t="shared" si="0"/>
        <v>0</v>
      </c>
      <c r="G11" s="10">
        <f>IF(F11=0,0,①基礎情報!$C$6)</f>
        <v>0</v>
      </c>
      <c r="H11" s="113">
        <f t="shared" si="3"/>
        <v>0</v>
      </c>
      <c r="I11" s="10">
        <f t="shared" si="4"/>
        <v>0</v>
      </c>
      <c r="J11" s="10">
        <f t="shared" si="5"/>
        <v>0</v>
      </c>
      <c r="K11" s="10">
        <f t="shared" si="1"/>
        <v>0</v>
      </c>
      <c r="L11" s="10">
        <f t="shared" si="2"/>
        <v>0</v>
      </c>
      <c r="M11" s="10">
        <f t="shared" si="6"/>
        <v>0</v>
      </c>
      <c r="AG11" s="121">
        <v>7</v>
      </c>
      <c r="AH11" s="121">
        <v>0.28599999999999998</v>
      </c>
      <c r="AI11" s="123">
        <v>0.14299999999999999</v>
      </c>
    </row>
    <row r="12" spans="1:35" ht="17.25" customHeight="1">
      <c r="B12" s="115" t="str">
        <f>IF(⑤初期投資一覧表!C19="","",⑤初期投資一覧表!C19)</f>
        <v/>
      </c>
      <c r="C12" s="120">
        <f>IF(⑤初期投資一覧表!D19="",0,⑤初期投資一覧表!D19)</f>
        <v>0</v>
      </c>
      <c r="D12" s="115" t="s">
        <v>149</v>
      </c>
      <c r="E12" s="158"/>
      <c r="F12" s="112">
        <f t="shared" si="0"/>
        <v>0</v>
      </c>
      <c r="G12" s="10">
        <f>IF(F12=0,0,①基礎情報!$C$6)</f>
        <v>0</v>
      </c>
      <c r="H12" s="113">
        <f t="shared" si="3"/>
        <v>0</v>
      </c>
      <c r="I12" s="10">
        <f t="shared" si="4"/>
        <v>0</v>
      </c>
      <c r="J12" s="10">
        <f t="shared" si="5"/>
        <v>0</v>
      </c>
      <c r="K12" s="10">
        <f t="shared" si="1"/>
        <v>0</v>
      </c>
      <c r="L12" s="10">
        <f t="shared" si="2"/>
        <v>0</v>
      </c>
      <c r="M12" s="10">
        <f t="shared" si="6"/>
        <v>0</v>
      </c>
      <c r="AG12" s="121">
        <v>8</v>
      </c>
      <c r="AH12" s="121">
        <v>0.25</v>
      </c>
      <c r="AI12" s="122">
        <v>0.125</v>
      </c>
    </row>
    <row r="13" spans="1:35" ht="17.25" customHeight="1">
      <c r="B13" s="115" t="str">
        <f>IF(⑤初期投資一覧表!C20="","",⑤初期投資一覧表!C20)</f>
        <v/>
      </c>
      <c r="C13" s="120">
        <f>IF(⑤初期投資一覧表!D20="",0,⑤初期投資一覧表!D20)</f>
        <v>0</v>
      </c>
      <c r="D13" s="115" t="s">
        <v>149</v>
      </c>
      <c r="E13" s="158"/>
      <c r="F13" s="112">
        <f t="shared" si="0"/>
        <v>0</v>
      </c>
      <c r="G13" s="10">
        <f>IF(F13=0,0,①基礎情報!$C$6)</f>
        <v>0</v>
      </c>
      <c r="H13" s="113">
        <f t="shared" si="3"/>
        <v>0</v>
      </c>
      <c r="I13" s="10">
        <f t="shared" si="4"/>
        <v>0</v>
      </c>
      <c r="J13" s="10">
        <f t="shared" si="5"/>
        <v>0</v>
      </c>
      <c r="K13" s="10">
        <f t="shared" si="1"/>
        <v>0</v>
      </c>
      <c r="L13" s="10">
        <f t="shared" si="2"/>
        <v>0</v>
      </c>
      <c r="M13" s="10">
        <f t="shared" si="6"/>
        <v>0</v>
      </c>
      <c r="AG13" s="121">
        <v>9</v>
      </c>
      <c r="AH13" s="121">
        <v>0.222</v>
      </c>
      <c r="AI13" s="123">
        <v>0.112</v>
      </c>
    </row>
    <row r="14" spans="1:35" ht="17.25" customHeight="1">
      <c r="B14" s="115" t="str">
        <f>IF(⑤初期投資一覧表!C21="","",⑤初期投資一覧表!C21)</f>
        <v/>
      </c>
      <c r="C14" s="120">
        <f>IF(⑤初期投資一覧表!D21="",0,⑤初期投資一覧表!D21)</f>
        <v>0</v>
      </c>
      <c r="D14" s="1"/>
      <c r="E14" s="158"/>
      <c r="F14" s="112">
        <f t="shared" si="0"/>
        <v>0</v>
      </c>
      <c r="G14" s="10">
        <f>IF(F14=0,0,①基礎情報!$C$6)</f>
        <v>0</v>
      </c>
      <c r="H14" s="113">
        <f t="shared" si="3"/>
        <v>0</v>
      </c>
      <c r="I14" s="10">
        <f t="shared" si="4"/>
        <v>0</v>
      </c>
      <c r="J14" s="10">
        <f t="shared" si="5"/>
        <v>0</v>
      </c>
      <c r="K14" s="10">
        <f t="shared" si="1"/>
        <v>0</v>
      </c>
      <c r="L14" s="10">
        <f t="shared" si="2"/>
        <v>0</v>
      </c>
      <c r="M14" s="10">
        <f t="shared" si="6"/>
        <v>0</v>
      </c>
      <c r="AG14" s="121">
        <v>10</v>
      </c>
      <c r="AH14" s="121">
        <v>0.2</v>
      </c>
      <c r="AI14" s="122">
        <v>0.1</v>
      </c>
    </row>
    <row r="15" spans="1:35" ht="17.25" customHeight="1">
      <c r="B15" s="119" t="s">
        <v>214</v>
      </c>
      <c r="C15" s="120">
        <f>+⑤初期投資一覧表!D30</f>
        <v>1400000</v>
      </c>
      <c r="D15" s="119" t="s">
        <v>149</v>
      </c>
      <c r="E15" s="119">
        <v>5</v>
      </c>
      <c r="F15" s="112">
        <f t="shared" si="0"/>
        <v>0.2</v>
      </c>
      <c r="G15" s="10">
        <f>IF(F15=0,0,①基礎情報!$C$6)</f>
        <v>12</v>
      </c>
      <c r="H15" s="113">
        <f>IF(F15=0,0,ROUNDDOWN(C15*F15/12,0))</f>
        <v>23333</v>
      </c>
      <c r="I15" s="10">
        <f t="shared" ref="I15" si="7">+H15*G15</f>
        <v>279996</v>
      </c>
      <c r="J15" s="10">
        <f t="shared" ref="J15" si="8">+C15-I15</f>
        <v>1120004</v>
      </c>
      <c r="K15" s="10">
        <f t="shared" si="1"/>
        <v>23333</v>
      </c>
      <c r="L15" s="10">
        <f t="shared" si="2"/>
        <v>279996</v>
      </c>
      <c r="M15" s="10">
        <f t="shared" ref="M15" si="9">+J15-K15*12</f>
        <v>840008</v>
      </c>
      <c r="AG15" s="121">
        <v>10</v>
      </c>
      <c r="AH15" s="121">
        <v>0.2</v>
      </c>
      <c r="AI15" s="122">
        <v>0.1</v>
      </c>
    </row>
    <row r="16" spans="1:35" ht="17.25" customHeight="1">
      <c r="B16" s="40"/>
      <c r="C16" s="2"/>
      <c r="D16" s="2"/>
      <c r="E16" s="249" t="s">
        <v>151</v>
      </c>
      <c r="F16" s="249"/>
      <c r="G16" s="159"/>
      <c r="H16" s="160">
        <f t="shared" ref="H16:M16" si="10">SUM(H5:H15)</f>
        <v>383006</v>
      </c>
      <c r="I16" s="160">
        <f t="shared" si="10"/>
        <v>4596072</v>
      </c>
      <c r="J16" s="160">
        <f t="shared" si="10"/>
        <v>3203928</v>
      </c>
      <c r="K16" s="160">
        <f t="shared" si="10"/>
        <v>48052</v>
      </c>
      <c r="L16" s="160">
        <f t="shared" si="10"/>
        <v>576624</v>
      </c>
      <c r="M16" s="160">
        <f t="shared" si="10"/>
        <v>2627304</v>
      </c>
      <c r="AG16" s="121">
        <v>11</v>
      </c>
      <c r="AH16" s="121">
        <v>0.182</v>
      </c>
      <c r="AI16" s="123">
        <v>9.0999999999999998E-2</v>
      </c>
    </row>
    <row r="17" spans="33:35" ht="17.25" customHeight="1">
      <c r="AG17" s="121">
        <v>12</v>
      </c>
      <c r="AH17" s="121">
        <v>0.16700000000000001</v>
      </c>
      <c r="AI17" s="122">
        <v>8.4000000000000005E-2</v>
      </c>
    </row>
    <row r="18" spans="33:35" ht="17.25" customHeight="1">
      <c r="AG18" s="121">
        <v>13</v>
      </c>
      <c r="AH18" s="121">
        <v>0.154</v>
      </c>
      <c r="AI18" s="123">
        <v>7.6999999999999999E-2</v>
      </c>
    </row>
    <row r="19" spans="33:35" ht="17.25" customHeight="1">
      <c r="AG19" s="121">
        <v>14</v>
      </c>
      <c r="AH19" s="121">
        <v>0.14299999999999999</v>
      </c>
      <c r="AI19" s="122">
        <v>7.1999999999999995E-2</v>
      </c>
    </row>
    <row r="20" spans="33:35" ht="17.25" customHeight="1">
      <c r="AG20" s="121">
        <v>15</v>
      </c>
      <c r="AH20" s="121">
        <v>0.13300000000000001</v>
      </c>
      <c r="AI20" s="123">
        <v>6.7000000000000004E-2</v>
      </c>
    </row>
    <row r="21" spans="33:35" ht="17.25" customHeight="1">
      <c r="AG21" s="121">
        <v>16</v>
      </c>
      <c r="AH21" s="121">
        <v>0.125</v>
      </c>
      <c r="AI21" s="122">
        <v>6.3E-2</v>
      </c>
    </row>
    <row r="22" spans="33:35" ht="17.25" customHeight="1">
      <c r="AG22" s="121">
        <v>17</v>
      </c>
      <c r="AH22" s="121">
        <v>0.11799999999999999</v>
      </c>
      <c r="AI22" s="123">
        <v>5.8999999999999997E-2</v>
      </c>
    </row>
    <row r="23" spans="33:35" ht="17.25" customHeight="1">
      <c r="AG23" s="121">
        <v>18</v>
      </c>
      <c r="AH23" s="121">
        <v>0.111</v>
      </c>
      <c r="AI23" s="122">
        <v>5.6000000000000001E-2</v>
      </c>
    </row>
    <row r="24" spans="33:35" ht="17.25" customHeight="1">
      <c r="AG24" s="121">
        <v>19</v>
      </c>
      <c r="AH24" s="121">
        <v>0.105</v>
      </c>
      <c r="AI24" s="123">
        <v>5.2999999999999999E-2</v>
      </c>
    </row>
    <row r="25" spans="33:35" ht="17.25" customHeight="1">
      <c r="AG25" s="121">
        <v>20</v>
      </c>
      <c r="AH25" s="121">
        <v>0.1</v>
      </c>
      <c r="AI25" s="122">
        <v>0.05</v>
      </c>
    </row>
    <row r="26" spans="33:35" ht="17.25" customHeight="1">
      <c r="AG26" s="121">
        <v>21</v>
      </c>
      <c r="AH26" s="121">
        <v>9.5000000000000001E-2</v>
      </c>
      <c r="AI26" s="123">
        <v>4.8000000000000001E-2</v>
      </c>
    </row>
    <row r="27" spans="33:35" ht="17.25" customHeight="1">
      <c r="AG27" s="121">
        <v>22</v>
      </c>
      <c r="AH27" s="121">
        <v>9.0999999999999998E-2</v>
      </c>
      <c r="AI27" s="122">
        <v>4.5999999999999999E-2</v>
      </c>
    </row>
    <row r="28" spans="33:35" ht="17.25" customHeight="1">
      <c r="AG28" s="121">
        <v>23</v>
      </c>
      <c r="AH28" s="121">
        <v>8.6999999999999994E-2</v>
      </c>
      <c r="AI28" s="123">
        <v>4.3999999999999997E-2</v>
      </c>
    </row>
    <row r="29" spans="33:35" ht="17.25" customHeight="1">
      <c r="AG29" s="121">
        <v>24</v>
      </c>
      <c r="AH29" s="121">
        <v>8.3000000000000004E-2</v>
      </c>
      <c r="AI29" s="122">
        <v>4.2000000000000003E-2</v>
      </c>
    </row>
    <row r="30" spans="33:35" ht="17.25" customHeight="1">
      <c r="AG30" s="121">
        <v>25</v>
      </c>
      <c r="AH30" s="121">
        <v>0.08</v>
      </c>
      <c r="AI30" s="123">
        <v>0.04</v>
      </c>
    </row>
    <row r="31" spans="33:35" ht="17.25" customHeight="1">
      <c r="AG31" s="121">
        <v>26</v>
      </c>
      <c r="AH31" s="121">
        <v>7.6999999999999999E-2</v>
      </c>
      <c r="AI31" s="122">
        <v>3.9E-2</v>
      </c>
    </row>
    <row r="32" spans="33:35" ht="17.25" customHeight="1">
      <c r="AG32" s="121">
        <v>27</v>
      </c>
      <c r="AH32" s="121">
        <v>7.3999999999999996E-2</v>
      </c>
      <c r="AI32" s="123">
        <v>3.7999999999999999E-2</v>
      </c>
    </row>
    <row r="33" spans="33:35" ht="17.25" customHeight="1">
      <c r="AG33" s="121">
        <v>28</v>
      </c>
      <c r="AH33" s="121">
        <v>7.0999999999999994E-2</v>
      </c>
      <c r="AI33" s="122">
        <v>3.5999999999999997E-2</v>
      </c>
    </row>
    <row r="34" spans="33:35" ht="17.25" customHeight="1">
      <c r="AG34" s="121">
        <v>29</v>
      </c>
      <c r="AH34" s="121">
        <v>6.9000000000000006E-2</v>
      </c>
      <c r="AI34" s="123">
        <v>3.5000000000000003E-2</v>
      </c>
    </row>
    <row r="35" spans="33:35" ht="17.25" customHeight="1">
      <c r="AG35" s="121">
        <v>30</v>
      </c>
      <c r="AH35" s="121">
        <v>6.7000000000000004E-2</v>
      </c>
      <c r="AI35" s="122">
        <v>3.4000000000000002E-2</v>
      </c>
    </row>
    <row r="36" spans="33:35" ht="17.25" customHeight="1">
      <c r="AG36" s="121">
        <v>31</v>
      </c>
      <c r="AH36" s="121">
        <v>6.5000000000000002E-2</v>
      </c>
      <c r="AI36" s="123">
        <v>3.3000000000000002E-2</v>
      </c>
    </row>
    <row r="37" spans="33:35" ht="17.25" customHeight="1">
      <c r="AG37" s="121">
        <v>32</v>
      </c>
      <c r="AH37" s="121">
        <v>6.3E-2</v>
      </c>
      <c r="AI37" s="122">
        <v>3.2000000000000001E-2</v>
      </c>
    </row>
    <row r="38" spans="33:35" ht="17.25" customHeight="1">
      <c r="AG38" s="121">
        <v>33</v>
      </c>
      <c r="AH38" s="121">
        <v>6.0999999999999999E-2</v>
      </c>
      <c r="AI38" s="123">
        <v>3.1E-2</v>
      </c>
    </row>
    <row r="39" spans="33:35" ht="17.25" customHeight="1">
      <c r="AG39" s="121">
        <v>34</v>
      </c>
      <c r="AH39" s="121">
        <v>5.8999999999999997E-2</v>
      </c>
      <c r="AI39" s="122">
        <v>0.03</v>
      </c>
    </row>
    <row r="40" spans="33:35" ht="17.25" customHeight="1">
      <c r="AG40" s="121">
        <v>35</v>
      </c>
      <c r="AH40" s="121">
        <v>5.7000000000000002E-2</v>
      </c>
      <c r="AI40" s="123">
        <v>2.9000000000000001E-2</v>
      </c>
    </row>
    <row r="41" spans="33:35" ht="17.25" customHeight="1">
      <c r="AG41" s="121">
        <v>36</v>
      </c>
      <c r="AH41" s="121">
        <v>5.6000000000000001E-2</v>
      </c>
      <c r="AI41" s="122">
        <v>2.8000000000000001E-2</v>
      </c>
    </row>
    <row r="42" spans="33:35" ht="17.25" customHeight="1">
      <c r="AG42" s="121">
        <v>37</v>
      </c>
      <c r="AH42" s="121">
        <v>5.3999999999999999E-2</v>
      </c>
      <c r="AI42" s="123">
        <v>2.8000000000000001E-2</v>
      </c>
    </row>
    <row r="43" spans="33:35" ht="17.25" customHeight="1">
      <c r="AG43" s="121">
        <v>38</v>
      </c>
      <c r="AH43" s="121">
        <v>5.2999999999999999E-2</v>
      </c>
      <c r="AI43" s="122">
        <v>2.7E-2</v>
      </c>
    </row>
    <row r="44" spans="33:35" ht="17.25" customHeight="1">
      <c r="AG44" s="121">
        <v>39</v>
      </c>
      <c r="AH44" s="121">
        <v>5.0999999999999997E-2</v>
      </c>
      <c r="AI44" s="123">
        <v>2.5999999999999999E-2</v>
      </c>
    </row>
    <row r="45" spans="33:35" ht="17.25" customHeight="1">
      <c r="AG45" s="121">
        <v>40</v>
      </c>
      <c r="AH45" s="121">
        <v>0.05</v>
      </c>
      <c r="AI45" s="122">
        <v>2.5000000000000001E-2</v>
      </c>
    </row>
    <row r="46" spans="33:35" ht="17.25" customHeight="1">
      <c r="AG46" s="121">
        <v>41</v>
      </c>
      <c r="AH46" s="121">
        <v>4.9000000000000002E-2</v>
      </c>
      <c r="AI46" s="123">
        <v>2.5000000000000001E-2</v>
      </c>
    </row>
    <row r="47" spans="33:35" ht="17.25" customHeight="1">
      <c r="AG47" s="121">
        <v>42</v>
      </c>
      <c r="AH47" s="121">
        <v>4.8000000000000001E-2</v>
      </c>
      <c r="AI47" s="122">
        <v>2.4E-2</v>
      </c>
    </row>
    <row r="48" spans="33:35" ht="17.25" customHeight="1">
      <c r="AG48" s="121">
        <v>43</v>
      </c>
      <c r="AH48" s="121">
        <v>4.7E-2</v>
      </c>
      <c r="AI48" s="123">
        <v>2.4E-2</v>
      </c>
    </row>
    <row r="49" spans="33:35" ht="17.25" customHeight="1">
      <c r="AG49" s="121">
        <v>44</v>
      </c>
      <c r="AH49" s="121">
        <v>4.4999999999999998E-2</v>
      </c>
      <c r="AI49" s="122">
        <v>2.3E-2</v>
      </c>
    </row>
    <row r="50" spans="33:35" ht="17.25" customHeight="1">
      <c r="AG50" s="121">
        <v>45</v>
      </c>
      <c r="AH50" s="121">
        <v>4.3999999999999997E-2</v>
      </c>
      <c r="AI50" s="123">
        <v>2.3E-2</v>
      </c>
    </row>
    <row r="51" spans="33:35" ht="17.25" customHeight="1">
      <c r="AG51" s="121">
        <v>46</v>
      </c>
      <c r="AH51" s="121">
        <v>4.2999999999999997E-2</v>
      </c>
      <c r="AI51" s="122">
        <v>2.1999999999999999E-2</v>
      </c>
    </row>
    <row r="52" spans="33:35" ht="17.25" customHeight="1">
      <c r="AG52" s="121">
        <v>47</v>
      </c>
      <c r="AH52" s="121">
        <v>4.2999999999999997E-2</v>
      </c>
      <c r="AI52" s="123">
        <v>2.1999999999999999E-2</v>
      </c>
    </row>
    <row r="53" spans="33:35" ht="17.25" customHeight="1">
      <c r="AG53" s="121">
        <v>48</v>
      </c>
      <c r="AH53" s="121">
        <v>4.2000000000000003E-2</v>
      </c>
      <c r="AI53" s="122">
        <v>2.1000000000000001E-2</v>
      </c>
    </row>
    <row r="54" spans="33:35" ht="17.25" customHeight="1">
      <c r="AG54" s="121">
        <v>49</v>
      </c>
      <c r="AH54" s="121">
        <v>4.1000000000000002E-2</v>
      </c>
      <c r="AI54" s="123">
        <v>2.1000000000000001E-2</v>
      </c>
    </row>
    <row r="55" spans="33:35" ht="17.25" customHeight="1">
      <c r="AG55" s="121">
        <v>50</v>
      </c>
      <c r="AH55" s="121">
        <v>0.04</v>
      </c>
      <c r="AI55" s="122">
        <v>0.02</v>
      </c>
    </row>
    <row r="56" spans="33:35" ht="17.25" customHeight="1">
      <c r="AG56" s="121">
        <v>51</v>
      </c>
      <c r="AH56" s="121">
        <v>3.9E-2</v>
      </c>
      <c r="AI56" s="123">
        <v>0.02</v>
      </c>
    </row>
    <row r="57" spans="33:35" ht="17.25" customHeight="1">
      <c r="AG57" s="121">
        <v>52</v>
      </c>
      <c r="AH57" s="121">
        <v>3.7999999999999999E-2</v>
      </c>
      <c r="AI57" s="122">
        <v>0.02</v>
      </c>
    </row>
    <row r="58" spans="33:35" ht="17.25" customHeight="1">
      <c r="AG58" s="121">
        <v>53</v>
      </c>
      <c r="AH58" s="121">
        <v>3.7999999999999999E-2</v>
      </c>
      <c r="AI58" s="123">
        <v>1.9E-2</v>
      </c>
    </row>
    <row r="59" spans="33:35" ht="17.25" customHeight="1">
      <c r="AG59" s="121">
        <v>54</v>
      </c>
      <c r="AH59" s="121">
        <v>3.6999999999999998E-2</v>
      </c>
      <c r="AI59" s="122">
        <v>1.9E-2</v>
      </c>
    </row>
    <row r="60" spans="33:35" ht="17.25" customHeight="1">
      <c r="AG60" s="121">
        <v>55</v>
      </c>
      <c r="AH60" s="121">
        <v>3.5999999999999997E-2</v>
      </c>
      <c r="AI60" s="123">
        <v>1.9E-2</v>
      </c>
    </row>
    <row r="61" spans="33:35" ht="17.25" customHeight="1">
      <c r="AG61" s="121">
        <v>56</v>
      </c>
      <c r="AH61" s="121">
        <v>3.5999999999999997E-2</v>
      </c>
      <c r="AI61" s="122">
        <v>1.7999999999999999E-2</v>
      </c>
    </row>
    <row r="62" spans="33:35" ht="17.25" customHeight="1">
      <c r="AG62" s="121">
        <v>57</v>
      </c>
      <c r="AH62" s="121">
        <v>3.5000000000000003E-2</v>
      </c>
      <c r="AI62" s="123">
        <v>1.7999999999999999E-2</v>
      </c>
    </row>
    <row r="63" spans="33:35" ht="17.25" customHeight="1">
      <c r="AG63" s="121">
        <v>58</v>
      </c>
      <c r="AH63" s="121">
        <v>3.4000000000000002E-2</v>
      </c>
      <c r="AI63" s="122">
        <v>1.7999999999999999E-2</v>
      </c>
    </row>
    <row r="64" spans="33:35" ht="17.25" customHeight="1">
      <c r="AG64" s="121">
        <v>59</v>
      </c>
      <c r="AH64" s="121">
        <v>3.4000000000000002E-2</v>
      </c>
      <c r="AI64" s="123">
        <v>1.7000000000000001E-2</v>
      </c>
    </row>
    <row r="65" spans="33:35" ht="17.25" customHeight="1">
      <c r="AG65" s="121">
        <v>60</v>
      </c>
      <c r="AH65" s="121">
        <v>3.3000000000000002E-2</v>
      </c>
      <c r="AI65" s="122">
        <v>1.7000000000000001E-2</v>
      </c>
    </row>
    <row r="66" spans="33:35" ht="17.25" customHeight="1">
      <c r="AG66" s="121">
        <v>61</v>
      </c>
      <c r="AH66" s="121">
        <v>3.3000000000000002E-2</v>
      </c>
      <c r="AI66" s="123">
        <v>1.7000000000000001E-2</v>
      </c>
    </row>
    <row r="67" spans="33:35" ht="17.25" customHeight="1">
      <c r="AG67" s="121">
        <v>62</v>
      </c>
      <c r="AH67" s="121">
        <v>3.2000000000000001E-2</v>
      </c>
      <c r="AI67" s="122">
        <v>1.7000000000000001E-2</v>
      </c>
    </row>
    <row r="68" spans="33:35" ht="17.25" customHeight="1">
      <c r="AG68" s="121">
        <v>63</v>
      </c>
      <c r="AH68" s="121">
        <v>3.2000000000000001E-2</v>
      </c>
      <c r="AI68" s="123">
        <v>1.6E-2</v>
      </c>
    </row>
    <row r="69" spans="33:35" ht="17.25" customHeight="1">
      <c r="AG69" s="121">
        <v>64</v>
      </c>
      <c r="AH69" s="121">
        <v>3.1E-2</v>
      </c>
      <c r="AI69" s="122">
        <v>1.6E-2</v>
      </c>
    </row>
    <row r="70" spans="33:35" ht="17.25" customHeight="1">
      <c r="AG70" s="121">
        <v>65</v>
      </c>
      <c r="AH70" s="121">
        <v>3.1E-2</v>
      </c>
      <c r="AI70" s="123">
        <v>1.6E-2</v>
      </c>
    </row>
    <row r="71" spans="33:35" ht="17.25" customHeight="1">
      <c r="AG71" s="121">
        <v>66</v>
      </c>
      <c r="AH71" s="121">
        <v>0.03</v>
      </c>
      <c r="AI71" s="122">
        <v>1.6E-2</v>
      </c>
    </row>
    <row r="72" spans="33:35" ht="17.25" customHeight="1">
      <c r="AG72" s="121">
        <v>67</v>
      </c>
      <c r="AH72" s="121">
        <v>0.03</v>
      </c>
      <c r="AI72" s="123">
        <v>1.4999999999999999E-2</v>
      </c>
    </row>
    <row r="73" spans="33:35" ht="17.25" customHeight="1">
      <c r="AG73" s="121">
        <v>68</v>
      </c>
      <c r="AH73" s="121">
        <v>2.9000000000000001E-2</v>
      </c>
      <c r="AI73" s="122">
        <v>1.4999999999999999E-2</v>
      </c>
    </row>
    <row r="74" spans="33:35" ht="17.25" customHeight="1">
      <c r="AG74" s="121">
        <v>69</v>
      </c>
      <c r="AH74" s="121">
        <v>2.9000000000000001E-2</v>
      </c>
      <c r="AI74" s="123">
        <v>1.4999999999999999E-2</v>
      </c>
    </row>
    <row r="75" spans="33:35" ht="17.25" customHeight="1">
      <c r="AG75" s="121">
        <v>70</v>
      </c>
      <c r="AH75" s="121">
        <v>2.9000000000000001E-2</v>
      </c>
      <c r="AI75" s="122">
        <v>1.4999999999999999E-2</v>
      </c>
    </row>
    <row r="76" spans="33:35" ht="17.25" customHeight="1">
      <c r="AG76" s="121">
        <v>71</v>
      </c>
      <c r="AH76" s="121">
        <v>2.8000000000000001E-2</v>
      </c>
      <c r="AI76" s="123">
        <v>1.4999999999999999E-2</v>
      </c>
    </row>
    <row r="77" spans="33:35" ht="17.25" customHeight="1">
      <c r="AG77" s="121">
        <v>72</v>
      </c>
      <c r="AH77" s="121">
        <v>2.8000000000000001E-2</v>
      </c>
      <c r="AI77" s="122">
        <v>1.4E-2</v>
      </c>
    </row>
    <row r="78" spans="33:35" ht="17.25" customHeight="1">
      <c r="AG78" s="121">
        <v>73</v>
      </c>
      <c r="AH78" s="121">
        <v>2.7E-2</v>
      </c>
      <c r="AI78" s="123">
        <v>1.4E-2</v>
      </c>
    </row>
    <row r="79" spans="33:35" ht="17.25" customHeight="1">
      <c r="AG79" s="121">
        <v>74</v>
      </c>
      <c r="AH79" s="121">
        <v>2.7E-2</v>
      </c>
      <c r="AI79" s="122">
        <v>1.4E-2</v>
      </c>
    </row>
    <row r="80" spans="33:35" ht="17.25" customHeight="1">
      <c r="AG80" s="121">
        <v>75</v>
      </c>
      <c r="AH80" s="121">
        <v>2.7E-2</v>
      </c>
      <c r="AI80" s="123">
        <v>1.4E-2</v>
      </c>
    </row>
    <row r="81" spans="33:35" ht="17.25" customHeight="1">
      <c r="AG81" s="121">
        <v>76</v>
      </c>
      <c r="AH81" s="121">
        <v>2.5999999999999999E-2</v>
      </c>
      <c r="AI81" s="122">
        <v>1.4E-2</v>
      </c>
    </row>
    <row r="82" spans="33:35" ht="17.25" customHeight="1">
      <c r="AG82" s="121">
        <v>77</v>
      </c>
      <c r="AH82" s="121">
        <v>2.5999999999999999E-2</v>
      </c>
      <c r="AI82" s="123">
        <v>1.2999999999999999E-2</v>
      </c>
    </row>
    <row r="83" spans="33:35" ht="17.25" customHeight="1">
      <c r="AG83" s="121">
        <v>78</v>
      </c>
      <c r="AH83" s="121">
        <v>2.5999999999999999E-2</v>
      </c>
      <c r="AI83" s="122">
        <v>1.2999999999999999E-2</v>
      </c>
    </row>
    <row r="84" spans="33:35" ht="17.25" customHeight="1">
      <c r="AG84" s="121">
        <v>79</v>
      </c>
      <c r="AH84" s="121">
        <v>2.5000000000000001E-2</v>
      </c>
      <c r="AI84" s="123">
        <v>1.2999999999999999E-2</v>
      </c>
    </row>
    <row r="85" spans="33:35" ht="17.25" customHeight="1">
      <c r="AG85" s="121">
        <v>80</v>
      </c>
      <c r="AH85" s="121">
        <v>2.5000000000000001E-2</v>
      </c>
      <c r="AI85" s="122">
        <v>1.2999999999999999E-2</v>
      </c>
    </row>
    <row r="86" spans="33:35" ht="17.25" customHeight="1">
      <c r="AG86" s="121">
        <v>81</v>
      </c>
      <c r="AH86" s="121">
        <v>2.5000000000000001E-2</v>
      </c>
      <c r="AI86" s="123">
        <v>1.2999999999999999E-2</v>
      </c>
    </row>
    <row r="87" spans="33:35" ht="17.25" customHeight="1">
      <c r="AG87" s="121">
        <v>82</v>
      </c>
      <c r="AH87" s="121">
        <v>2.4E-2</v>
      </c>
      <c r="AI87" s="122">
        <v>1.2999999999999999E-2</v>
      </c>
    </row>
    <row r="88" spans="33:35" ht="17.25" customHeight="1">
      <c r="AG88" s="121">
        <v>83</v>
      </c>
      <c r="AH88" s="121">
        <v>2.4E-2</v>
      </c>
      <c r="AI88" s="123">
        <v>1.2999999999999999E-2</v>
      </c>
    </row>
    <row r="89" spans="33:35" ht="17.25" customHeight="1">
      <c r="AG89" s="121">
        <v>84</v>
      </c>
      <c r="AH89" s="121">
        <v>2.4E-2</v>
      </c>
      <c r="AI89" s="122">
        <v>1.2E-2</v>
      </c>
    </row>
    <row r="90" spans="33:35" ht="17.25" customHeight="1">
      <c r="AG90" s="121">
        <v>85</v>
      </c>
      <c r="AH90" s="121">
        <v>2.4E-2</v>
      </c>
      <c r="AI90" s="123">
        <v>1.2E-2</v>
      </c>
    </row>
    <row r="91" spans="33:35" ht="17.25" customHeight="1">
      <c r="AG91" s="121">
        <v>86</v>
      </c>
      <c r="AH91" s="121">
        <v>2.3E-2</v>
      </c>
      <c r="AI91" s="122">
        <v>1.2E-2</v>
      </c>
    </row>
    <row r="92" spans="33:35" ht="17.25" customHeight="1">
      <c r="AG92" s="121">
        <v>87</v>
      </c>
      <c r="AH92" s="121">
        <v>2.3E-2</v>
      </c>
      <c r="AI92" s="123">
        <v>1.2E-2</v>
      </c>
    </row>
    <row r="93" spans="33:35" ht="17.25" customHeight="1">
      <c r="AG93" s="121">
        <v>88</v>
      </c>
      <c r="AH93" s="121">
        <v>2.3E-2</v>
      </c>
      <c r="AI93" s="122">
        <v>1.2E-2</v>
      </c>
    </row>
    <row r="94" spans="33:35" ht="17.25" customHeight="1">
      <c r="AG94" s="121">
        <v>89</v>
      </c>
      <c r="AH94" s="121">
        <v>2.1999999999999999E-2</v>
      </c>
      <c r="AI94" s="123">
        <v>1.2E-2</v>
      </c>
    </row>
    <row r="95" spans="33:35" ht="17.25" customHeight="1">
      <c r="AG95" s="121">
        <v>90</v>
      </c>
      <c r="AH95" s="121">
        <v>2.1999999999999999E-2</v>
      </c>
      <c r="AI95" s="122">
        <v>1.2E-2</v>
      </c>
    </row>
    <row r="96" spans="33:35" ht="17.25" customHeight="1">
      <c r="AG96" s="121">
        <v>91</v>
      </c>
      <c r="AH96" s="121">
        <v>2.1999999999999999E-2</v>
      </c>
      <c r="AI96" s="123">
        <v>1.0999999999999999E-2</v>
      </c>
    </row>
    <row r="97" spans="33:35" ht="17.25" customHeight="1">
      <c r="AG97" s="121">
        <v>92</v>
      </c>
      <c r="AH97" s="121">
        <v>2.1999999999999999E-2</v>
      </c>
      <c r="AI97" s="122">
        <v>1.0999999999999999E-2</v>
      </c>
    </row>
    <row r="98" spans="33:35" ht="17.25" customHeight="1">
      <c r="AG98" s="121">
        <v>93</v>
      </c>
      <c r="AH98" s="121">
        <v>2.1999999999999999E-2</v>
      </c>
      <c r="AI98" s="123">
        <v>1.0999999999999999E-2</v>
      </c>
    </row>
    <row r="99" spans="33:35" ht="17.25" customHeight="1">
      <c r="AG99" s="121">
        <v>94</v>
      </c>
      <c r="AH99" s="121">
        <v>2.1000000000000001E-2</v>
      </c>
      <c r="AI99" s="122">
        <v>1.0999999999999999E-2</v>
      </c>
    </row>
    <row r="100" spans="33:35" ht="17.25" customHeight="1">
      <c r="AG100" s="121">
        <v>95</v>
      </c>
      <c r="AH100" s="121">
        <v>2.1000000000000001E-2</v>
      </c>
      <c r="AI100" s="123">
        <v>1.0999999999999999E-2</v>
      </c>
    </row>
    <row r="101" spans="33:35" ht="17.25" customHeight="1">
      <c r="AG101" s="121">
        <v>96</v>
      </c>
      <c r="AH101" s="121">
        <v>2.1000000000000001E-2</v>
      </c>
      <c r="AI101" s="122">
        <v>1.0999999999999999E-2</v>
      </c>
    </row>
    <row r="102" spans="33:35" ht="17.25" customHeight="1">
      <c r="AG102" s="121">
        <v>97</v>
      </c>
      <c r="AH102" s="121">
        <v>2.1000000000000001E-2</v>
      </c>
      <c r="AI102" s="123">
        <v>1.0999999999999999E-2</v>
      </c>
    </row>
    <row r="103" spans="33:35" ht="17.25" customHeight="1">
      <c r="AG103" s="121">
        <v>98</v>
      </c>
      <c r="AH103" s="121">
        <v>0.02</v>
      </c>
      <c r="AI103" s="122">
        <v>1.0999999999999999E-2</v>
      </c>
    </row>
    <row r="104" spans="33:35" ht="17.25" customHeight="1">
      <c r="AG104" s="121"/>
    </row>
  </sheetData>
  <mergeCells count="2">
    <mergeCell ref="E16:F16"/>
    <mergeCell ref="A1:C2"/>
  </mergeCells>
  <phoneticPr fontId="2"/>
  <dataValidations count="1">
    <dataValidation type="list" allowBlank="1" showInputMessage="1" showErrorMessage="1" sqref="D5:D15">
      <formula1>$AE$5:$AE$6</formula1>
    </dataValidation>
  </dataValidations>
  <pageMargins left="0.7" right="0.7" top="0.75" bottom="0.75" header="0.3" footer="0.3"/>
  <pageSetup paperSize="9"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46"/>
  <sheetViews>
    <sheetView showGridLines="0" topLeftCell="A10" zoomScaleNormal="100" zoomScaleSheetLayoutView="100" workbookViewId="0">
      <selection activeCell="Q25" sqref="A20:Q25"/>
    </sheetView>
  </sheetViews>
  <sheetFormatPr defaultColWidth="9" defaultRowHeight="18.75" customHeight="1"/>
  <cols>
    <col min="1" max="1" width="9" style="26"/>
    <col min="2" max="2" width="2.625" style="26" customWidth="1"/>
    <col min="3" max="3" width="8.375" style="26" customWidth="1"/>
    <col min="4" max="4" width="3.125" style="26" bestFit="1" customWidth="1"/>
    <col min="5" max="22" width="11.375" style="26" customWidth="1"/>
    <col min="23" max="23" width="2.625" style="26" bestFit="1" customWidth="1"/>
    <col min="24" max="16384" width="9" style="26"/>
  </cols>
  <sheetData>
    <row r="2" spans="2:23" ht="18.75" customHeight="1">
      <c r="B2" s="25" t="s">
        <v>221</v>
      </c>
      <c r="E2" s="27"/>
      <c r="F2" s="27"/>
      <c r="G2" s="28"/>
      <c r="H2" s="27"/>
      <c r="I2" s="27"/>
      <c r="J2" s="27"/>
      <c r="K2" s="27"/>
      <c r="L2" s="27"/>
      <c r="M2" s="27"/>
      <c r="N2" s="27"/>
      <c r="O2" s="27"/>
      <c r="P2" s="27"/>
      <c r="Q2" s="27"/>
      <c r="R2" s="27"/>
      <c r="S2" s="27"/>
      <c r="T2" s="27"/>
      <c r="V2" s="56">
        <f>+①基礎情報!G1</f>
        <v>42461</v>
      </c>
    </row>
    <row r="3" spans="2:23" ht="18.75" customHeight="1">
      <c r="B3" s="25"/>
      <c r="C3" s="26" t="s">
        <v>69</v>
      </c>
      <c r="E3" s="27"/>
      <c r="F3" s="27"/>
      <c r="G3" s="27"/>
      <c r="H3" s="27"/>
      <c r="I3" s="27"/>
      <c r="J3" s="27"/>
      <c r="K3" s="27"/>
      <c r="L3" s="27"/>
      <c r="M3" s="27"/>
      <c r="N3" s="27"/>
      <c r="O3" s="27"/>
      <c r="P3" s="27"/>
      <c r="Q3" s="27"/>
      <c r="R3" s="27"/>
      <c r="S3" s="27"/>
      <c r="T3" s="27"/>
      <c r="V3" s="29" t="s">
        <v>38</v>
      </c>
    </row>
    <row r="4" spans="2:23" s="53" customFormat="1" ht="18.75" customHeight="1">
      <c r="B4" s="52"/>
      <c r="E4" s="54">
        <f>$V$2</f>
        <v>42461</v>
      </c>
      <c r="F4" s="54">
        <f>DATE(YEAR(E4),MONTH(E4)+1,1)</f>
        <v>42491</v>
      </c>
      <c r="G4" s="54">
        <f t="shared" ref="G4:U4" si="0">DATE(YEAR(F4),MONTH(F4)+1,1)</f>
        <v>42522</v>
      </c>
      <c r="H4" s="54">
        <f t="shared" si="0"/>
        <v>42552</v>
      </c>
      <c r="I4" s="54">
        <f t="shared" si="0"/>
        <v>42583</v>
      </c>
      <c r="J4" s="54">
        <f>DATE(YEAR(I4),MONTH(I4)+1,1)</f>
        <v>42614</v>
      </c>
      <c r="K4" s="54">
        <f t="shared" si="0"/>
        <v>42644</v>
      </c>
      <c r="L4" s="54">
        <f t="shared" si="0"/>
        <v>42675</v>
      </c>
      <c r="M4" s="54">
        <f t="shared" si="0"/>
        <v>42705</v>
      </c>
      <c r="N4" s="54">
        <f t="shared" si="0"/>
        <v>42736</v>
      </c>
      <c r="O4" s="54">
        <f t="shared" si="0"/>
        <v>42767</v>
      </c>
      <c r="P4" s="54">
        <f t="shared" si="0"/>
        <v>42795</v>
      </c>
      <c r="Q4" s="54">
        <f t="shared" si="0"/>
        <v>42826</v>
      </c>
      <c r="R4" s="54">
        <f t="shared" si="0"/>
        <v>42856</v>
      </c>
      <c r="S4" s="54">
        <f t="shared" si="0"/>
        <v>42887</v>
      </c>
      <c r="T4" s="54">
        <f t="shared" si="0"/>
        <v>42917</v>
      </c>
      <c r="U4" s="54">
        <f t="shared" si="0"/>
        <v>42948</v>
      </c>
    </row>
    <row r="5" spans="2:23" s="30" customFormat="1" ht="18.75" customHeight="1">
      <c r="D5" s="134" t="s">
        <v>37</v>
      </c>
      <c r="E5" s="139">
        <f>YEAR(E4)</f>
        <v>2016</v>
      </c>
      <c r="F5" s="139">
        <f t="shared" ref="F5:U5" si="1">YEAR(F4)</f>
        <v>2016</v>
      </c>
      <c r="G5" s="139">
        <f t="shared" si="1"/>
        <v>2016</v>
      </c>
      <c r="H5" s="139">
        <f t="shared" si="1"/>
        <v>2016</v>
      </c>
      <c r="I5" s="139">
        <f t="shared" si="1"/>
        <v>2016</v>
      </c>
      <c r="J5" s="139">
        <f t="shared" si="1"/>
        <v>2016</v>
      </c>
      <c r="K5" s="139">
        <f t="shared" si="1"/>
        <v>2016</v>
      </c>
      <c r="L5" s="139">
        <f t="shared" si="1"/>
        <v>2016</v>
      </c>
      <c r="M5" s="139">
        <f t="shared" si="1"/>
        <v>2016</v>
      </c>
      <c r="N5" s="139">
        <f t="shared" si="1"/>
        <v>2017</v>
      </c>
      <c r="O5" s="139">
        <f t="shared" si="1"/>
        <v>2017</v>
      </c>
      <c r="P5" s="139">
        <f t="shared" si="1"/>
        <v>2017</v>
      </c>
      <c r="Q5" s="139">
        <f t="shared" si="1"/>
        <v>2017</v>
      </c>
      <c r="R5" s="139">
        <f t="shared" si="1"/>
        <v>2017</v>
      </c>
      <c r="S5" s="139">
        <f t="shared" si="1"/>
        <v>2017</v>
      </c>
      <c r="T5" s="139">
        <f t="shared" si="1"/>
        <v>2017</v>
      </c>
      <c r="U5" s="139">
        <f t="shared" si="1"/>
        <v>2017</v>
      </c>
      <c r="V5" s="139" t="s">
        <v>196</v>
      </c>
    </row>
    <row r="6" spans="2:23" s="30" customFormat="1" ht="18.75" customHeight="1">
      <c r="D6" s="135" t="s">
        <v>36</v>
      </c>
      <c r="E6" s="136">
        <f>MONTH(E4)</f>
        <v>4</v>
      </c>
      <c r="F6" s="136">
        <f t="shared" ref="F6:U6" si="2">MONTH(F4)</f>
        <v>5</v>
      </c>
      <c r="G6" s="136">
        <f t="shared" si="2"/>
        <v>6</v>
      </c>
      <c r="H6" s="136">
        <f t="shared" si="2"/>
        <v>7</v>
      </c>
      <c r="I6" s="136">
        <f t="shared" si="2"/>
        <v>8</v>
      </c>
      <c r="J6" s="136">
        <f t="shared" si="2"/>
        <v>9</v>
      </c>
      <c r="K6" s="136">
        <f t="shared" si="2"/>
        <v>10</v>
      </c>
      <c r="L6" s="136">
        <f t="shared" si="2"/>
        <v>11</v>
      </c>
      <c r="M6" s="136">
        <f t="shared" si="2"/>
        <v>12</v>
      </c>
      <c r="N6" s="136">
        <f t="shared" si="2"/>
        <v>1</v>
      </c>
      <c r="O6" s="136">
        <f t="shared" si="2"/>
        <v>2</v>
      </c>
      <c r="P6" s="136">
        <f t="shared" si="2"/>
        <v>3</v>
      </c>
      <c r="Q6" s="136">
        <f t="shared" si="2"/>
        <v>4</v>
      </c>
      <c r="R6" s="136">
        <f t="shared" si="2"/>
        <v>5</v>
      </c>
      <c r="S6" s="136">
        <f t="shared" si="2"/>
        <v>6</v>
      </c>
      <c r="T6" s="136">
        <f t="shared" si="2"/>
        <v>7</v>
      </c>
      <c r="U6" s="136">
        <f t="shared" si="2"/>
        <v>8</v>
      </c>
      <c r="V6" s="136"/>
    </row>
    <row r="7" spans="2:23" s="30" customFormat="1" ht="18.75" customHeight="1">
      <c r="D7" s="134"/>
      <c r="E7" s="136" t="str">
        <f>+IF(COUNTIF(⑦損益シミュレーション!$B$6:D6,①基礎情報!$F$4)=1,"2期目","1期目")</f>
        <v>1期目</v>
      </c>
      <c r="F7" s="136" t="str">
        <f>+IF(COUNTIF(⑦損益シミュレーション!$B$6:E6,①基礎情報!$F$4)=1,"2期目","1期目")</f>
        <v>1期目</v>
      </c>
      <c r="G7" s="136" t="str">
        <f>+IF(COUNTIF(⑦損益シミュレーション!$B$6:F6,①基礎情報!$F$4)=1,"2期目","1期目")</f>
        <v>1期目</v>
      </c>
      <c r="H7" s="136" t="str">
        <f>+IF(COUNTIF(⑦損益シミュレーション!$B$6:G6,①基礎情報!$F$4)=1,"2期目","1期目")</f>
        <v>1期目</v>
      </c>
      <c r="I7" s="136" t="str">
        <f>+IF(COUNTIF(⑦損益シミュレーション!$B$6:H6,①基礎情報!$F$4)=1,"2期目","1期目")</f>
        <v>1期目</v>
      </c>
      <c r="J7" s="136" t="str">
        <f>+IF(COUNTIF(⑦損益シミュレーション!$B$6:I6,①基礎情報!$F$4)=1,"2期目","1期目")</f>
        <v>1期目</v>
      </c>
      <c r="K7" s="136" t="str">
        <f>+IF(COUNTIF(⑦損益シミュレーション!$B$6:J6,①基礎情報!$F$4)=1,"2期目","1期目")</f>
        <v>1期目</v>
      </c>
      <c r="L7" s="136" t="str">
        <f>+IF(COUNTIF(⑦損益シミュレーション!$B$6:K6,①基礎情報!$F$4)=1,"2期目","1期目")</f>
        <v>1期目</v>
      </c>
      <c r="M7" s="136" t="str">
        <f>+IF(COUNTIF(⑦損益シミュレーション!$B$6:L6,①基礎情報!$F$4)=1,"2期目","1期目")</f>
        <v>1期目</v>
      </c>
      <c r="N7" s="136" t="str">
        <f>+IF(COUNTIF(⑦損益シミュレーション!$B$6:M6,①基礎情報!$F$4)=1,"2期目","1期目")</f>
        <v>1期目</v>
      </c>
      <c r="O7" s="136" t="str">
        <f>+IF(COUNTIF(⑦損益シミュレーション!$B$6:N6,①基礎情報!$F$4)=1,"2期目","1期目")</f>
        <v>1期目</v>
      </c>
      <c r="P7" s="136" t="str">
        <f>+IF(COUNTIF(⑦損益シミュレーション!$B$6:O6,①基礎情報!$F$4)=1,"2期目","1期目")</f>
        <v>1期目</v>
      </c>
      <c r="Q7" s="136" t="str">
        <f>+IF(COUNTIF(⑦損益シミュレーション!$B$6:P6,①基礎情報!$F$4)=1,"2期目","1期目")</f>
        <v>2期目</v>
      </c>
      <c r="R7" s="136" t="str">
        <f>+IF(COUNTIF(⑦損益シミュレーション!$B$6:Q6,①基礎情報!$F$4)=1,"2期目","1期目")</f>
        <v>2期目</v>
      </c>
      <c r="S7" s="136" t="str">
        <f>+IF(COUNTIF(⑦損益シミュレーション!$B$6:R6,①基礎情報!$F$4)=1,"2期目","1期目")</f>
        <v>2期目</v>
      </c>
      <c r="T7" s="136" t="str">
        <f>+IF(COUNTIF(⑦損益シミュレーション!$B$6:S6,①基礎情報!$F$4)=1,"2期目","1期目")</f>
        <v>2期目</v>
      </c>
      <c r="U7" s="136" t="str">
        <f>+IF(COUNTIF(⑦損益シミュレーション!$B$6:T6,①基礎情報!$F$4)=1,"2期目","1期目")</f>
        <v>2期目</v>
      </c>
      <c r="V7" s="136"/>
    </row>
    <row r="8" spans="2:23" s="30" customFormat="1" ht="18.75" customHeight="1">
      <c r="B8" s="254" t="s">
        <v>35</v>
      </c>
      <c r="C8" s="254"/>
      <c r="D8" s="254"/>
      <c r="E8" s="31">
        <f>+③売上・原価!U48</f>
        <v>432000</v>
      </c>
      <c r="F8" s="31">
        <f>+③売上・原価!V48</f>
        <v>507060</v>
      </c>
      <c r="G8" s="31">
        <f>+③売上・原価!W48</f>
        <v>966600</v>
      </c>
      <c r="H8" s="31">
        <f>+③売上・原価!X48</f>
        <v>1183140</v>
      </c>
      <c r="I8" s="31">
        <f>+③売上・原価!Y48</f>
        <v>1275480</v>
      </c>
      <c r="J8" s="31">
        <f>+③売上・原価!Z48</f>
        <v>1322460</v>
      </c>
      <c r="K8" s="31">
        <f>+③売上・原価!AA48</f>
        <v>1348380</v>
      </c>
      <c r="L8" s="31">
        <f>+③売上・原価!AB48</f>
        <v>1367280</v>
      </c>
      <c r="M8" s="31">
        <f>+③売上・原価!AC48</f>
        <v>1386180</v>
      </c>
      <c r="N8" s="31">
        <f>+③売上・原価!AD48</f>
        <v>1423440</v>
      </c>
      <c r="O8" s="31">
        <f>+③売上・原価!AE48</f>
        <v>1423440</v>
      </c>
      <c r="P8" s="31">
        <f>+③売上・原価!AF48</f>
        <v>1423440</v>
      </c>
      <c r="Q8" s="31">
        <f>+③売上・原価!AG48</f>
        <v>1423440</v>
      </c>
      <c r="R8" s="31">
        <f>+③売上・原価!AH48</f>
        <v>1423440</v>
      </c>
      <c r="S8" s="31">
        <f>+③売上・原価!AI48</f>
        <v>1423440</v>
      </c>
      <c r="T8" s="31">
        <f>+③売上・原価!AJ48</f>
        <v>1423440</v>
      </c>
      <c r="U8" s="31">
        <f>+③売上・原価!AK48</f>
        <v>1423440</v>
      </c>
      <c r="V8" s="31">
        <f t="shared" ref="V8:V22" si="3">SUM(E8:U8)</f>
        <v>21176100</v>
      </c>
      <c r="W8" s="30">
        <f>+V8-N28</f>
        <v>0</v>
      </c>
    </row>
    <row r="9" spans="2:23" s="30" customFormat="1" ht="18.75" customHeight="1">
      <c r="B9" s="257" t="s">
        <v>34</v>
      </c>
      <c r="C9" s="257"/>
      <c r="D9" s="257"/>
      <c r="E9" s="31">
        <f>③売上・原価!$F$67</f>
        <v>128574</v>
      </c>
      <c r="F9" s="31">
        <f>($J$9-$E$9)/5+E9</f>
        <v>137062.79999999999</v>
      </c>
      <c r="G9" s="31">
        <f>($J$9-$E$9)/5+F9</f>
        <v>145551.59999999998</v>
      </c>
      <c r="H9" s="31">
        <f>($J$9-$E$9)/5+G9</f>
        <v>154040.39999999997</v>
      </c>
      <c r="I9" s="31">
        <f>($J$9-$E$9)/5+H9</f>
        <v>162529.19999999995</v>
      </c>
      <c r="J9" s="31">
        <f>③売上・原価!$N$67</f>
        <v>171018</v>
      </c>
      <c r="K9" s="31">
        <f>③売上・原価!$N$67</f>
        <v>171018</v>
      </c>
      <c r="L9" s="31">
        <f t="shared" ref="L9:U9" si="4">$K$9</f>
        <v>171018</v>
      </c>
      <c r="M9" s="31">
        <f t="shared" si="4"/>
        <v>171018</v>
      </c>
      <c r="N9" s="31">
        <f t="shared" si="4"/>
        <v>171018</v>
      </c>
      <c r="O9" s="31">
        <f t="shared" si="4"/>
        <v>171018</v>
      </c>
      <c r="P9" s="31">
        <f t="shared" si="4"/>
        <v>171018</v>
      </c>
      <c r="Q9" s="31">
        <f t="shared" si="4"/>
        <v>171018</v>
      </c>
      <c r="R9" s="31">
        <f t="shared" si="4"/>
        <v>171018</v>
      </c>
      <c r="S9" s="31">
        <f t="shared" si="4"/>
        <v>171018</v>
      </c>
      <c r="T9" s="31">
        <f t="shared" si="4"/>
        <v>171018</v>
      </c>
      <c r="U9" s="31">
        <f t="shared" si="4"/>
        <v>171018</v>
      </c>
      <c r="V9" s="31">
        <f t="shared" si="3"/>
        <v>2779974</v>
      </c>
      <c r="W9" s="30">
        <f t="shared" ref="W9:W22" si="5">+V9-N29</f>
        <v>0</v>
      </c>
    </row>
    <row r="10" spans="2:23" s="179" customFormat="1" ht="22.5" customHeight="1">
      <c r="B10" s="252" t="s">
        <v>33</v>
      </c>
      <c r="C10" s="252"/>
      <c r="D10" s="252"/>
      <c r="E10" s="180">
        <f>+E8-E9</f>
        <v>303426</v>
      </c>
      <c r="F10" s="180">
        <f t="shared" ref="F10:U10" si="6">+F8-F9</f>
        <v>369997.2</v>
      </c>
      <c r="G10" s="180">
        <f t="shared" si="6"/>
        <v>821048.4</v>
      </c>
      <c r="H10" s="180">
        <f t="shared" si="6"/>
        <v>1029099.6000000001</v>
      </c>
      <c r="I10" s="180">
        <f t="shared" si="6"/>
        <v>1112950.8</v>
      </c>
      <c r="J10" s="180">
        <f t="shared" si="6"/>
        <v>1151442</v>
      </c>
      <c r="K10" s="180">
        <f t="shared" si="6"/>
        <v>1177362</v>
      </c>
      <c r="L10" s="180">
        <f t="shared" si="6"/>
        <v>1196262</v>
      </c>
      <c r="M10" s="180">
        <f t="shared" si="6"/>
        <v>1215162</v>
      </c>
      <c r="N10" s="180">
        <f t="shared" si="6"/>
        <v>1252422</v>
      </c>
      <c r="O10" s="180">
        <f t="shared" si="6"/>
        <v>1252422</v>
      </c>
      <c r="P10" s="180">
        <f t="shared" si="6"/>
        <v>1252422</v>
      </c>
      <c r="Q10" s="180">
        <f t="shared" si="6"/>
        <v>1252422</v>
      </c>
      <c r="R10" s="180">
        <f t="shared" si="6"/>
        <v>1252422</v>
      </c>
      <c r="S10" s="180">
        <f t="shared" si="6"/>
        <v>1252422</v>
      </c>
      <c r="T10" s="180">
        <f t="shared" si="6"/>
        <v>1252422</v>
      </c>
      <c r="U10" s="180">
        <f t="shared" si="6"/>
        <v>1252422</v>
      </c>
      <c r="V10" s="180">
        <f t="shared" si="3"/>
        <v>18396126</v>
      </c>
      <c r="W10" s="179">
        <f t="shared" si="5"/>
        <v>0</v>
      </c>
    </row>
    <row r="11" spans="2:23" s="30" customFormat="1" ht="18.75" customHeight="1">
      <c r="B11" s="253" t="s">
        <v>32</v>
      </c>
      <c r="C11" s="254"/>
      <c r="D11" s="254"/>
      <c r="E11" s="31">
        <f t="shared" ref="E11:U11" si="7">SUM(E12:E21)</f>
        <v>927806</v>
      </c>
      <c r="F11" s="31">
        <f t="shared" si="7"/>
        <v>932392.33333333326</v>
      </c>
      <c r="G11" s="31">
        <f t="shared" si="7"/>
        <v>956202.66666666674</v>
      </c>
      <c r="H11" s="31">
        <f t="shared" si="7"/>
        <v>967863</v>
      </c>
      <c r="I11" s="31">
        <f t="shared" si="7"/>
        <v>973480</v>
      </c>
      <c r="J11" s="31">
        <f t="shared" si="7"/>
        <v>1257329</v>
      </c>
      <c r="K11" s="31">
        <f t="shared" si="7"/>
        <v>1257625</v>
      </c>
      <c r="L11" s="31">
        <f t="shared" si="7"/>
        <v>1258570</v>
      </c>
      <c r="M11" s="31">
        <f t="shared" si="7"/>
        <v>1259515</v>
      </c>
      <c r="N11" s="31">
        <f t="shared" si="7"/>
        <v>1261378</v>
      </c>
      <c r="O11" s="31">
        <f t="shared" si="7"/>
        <v>1261378</v>
      </c>
      <c r="P11" s="31">
        <f t="shared" si="7"/>
        <v>1261378</v>
      </c>
      <c r="Q11" s="31">
        <f t="shared" si="7"/>
        <v>926424</v>
      </c>
      <c r="R11" s="31">
        <f t="shared" si="7"/>
        <v>926424</v>
      </c>
      <c r="S11" s="31">
        <f t="shared" si="7"/>
        <v>926424</v>
      </c>
      <c r="T11" s="31">
        <f t="shared" si="7"/>
        <v>926424</v>
      </c>
      <c r="U11" s="31">
        <f t="shared" si="7"/>
        <v>926424</v>
      </c>
      <c r="V11" s="31">
        <f t="shared" si="3"/>
        <v>18207037</v>
      </c>
      <c r="W11" s="30">
        <f t="shared" si="5"/>
        <v>0</v>
      </c>
    </row>
    <row r="12" spans="2:23" s="30" customFormat="1" ht="18.75" customHeight="1">
      <c r="B12" s="32"/>
      <c r="C12" s="255" t="s">
        <v>31</v>
      </c>
      <c r="D12" s="256"/>
      <c r="E12" s="31">
        <f>④人件費!$D$15</f>
        <v>280000</v>
      </c>
      <c r="F12" s="31">
        <f>$E$12</f>
        <v>280000</v>
      </c>
      <c r="G12" s="31">
        <f>$E$12</f>
        <v>280000</v>
      </c>
      <c r="H12" s="31">
        <f>$E$12</f>
        <v>280000</v>
      </c>
      <c r="I12" s="31">
        <f>$E$12</f>
        <v>280000</v>
      </c>
      <c r="J12" s="31">
        <f>④人件費!$H$15</f>
        <v>560000</v>
      </c>
      <c r="K12" s="31">
        <f>④人件費!$H$15</f>
        <v>560000</v>
      </c>
      <c r="L12" s="31">
        <f t="shared" ref="L12:U12" si="8">$K$12</f>
        <v>560000</v>
      </c>
      <c r="M12" s="31">
        <f t="shared" si="8"/>
        <v>560000</v>
      </c>
      <c r="N12" s="31">
        <f t="shared" si="8"/>
        <v>560000</v>
      </c>
      <c r="O12" s="31">
        <f t="shared" si="8"/>
        <v>560000</v>
      </c>
      <c r="P12" s="31">
        <f t="shared" si="8"/>
        <v>560000</v>
      </c>
      <c r="Q12" s="31">
        <f t="shared" si="8"/>
        <v>560000</v>
      </c>
      <c r="R12" s="31">
        <f t="shared" si="8"/>
        <v>560000</v>
      </c>
      <c r="S12" s="31">
        <f t="shared" si="8"/>
        <v>560000</v>
      </c>
      <c r="T12" s="31">
        <f t="shared" si="8"/>
        <v>560000</v>
      </c>
      <c r="U12" s="31">
        <f t="shared" si="8"/>
        <v>560000</v>
      </c>
      <c r="V12" s="31">
        <f t="shared" si="3"/>
        <v>8120000</v>
      </c>
      <c r="W12" s="30">
        <f t="shared" si="5"/>
        <v>0</v>
      </c>
    </row>
    <row r="13" spans="2:23" s="30" customFormat="1" ht="18.75" customHeight="1">
      <c r="B13" s="33"/>
      <c r="C13" s="250" t="s">
        <v>30</v>
      </c>
      <c r="D13" s="251"/>
      <c r="E13" s="31">
        <v>97200</v>
      </c>
      <c r="F13" s="31">
        <f t="shared" ref="F13:U13" si="9">$E$13</f>
        <v>97200</v>
      </c>
      <c r="G13" s="31">
        <f t="shared" si="9"/>
        <v>97200</v>
      </c>
      <c r="H13" s="31">
        <f t="shared" si="9"/>
        <v>97200</v>
      </c>
      <c r="I13" s="31">
        <f t="shared" si="9"/>
        <v>97200</v>
      </c>
      <c r="J13" s="31">
        <f t="shared" si="9"/>
        <v>97200</v>
      </c>
      <c r="K13" s="31">
        <f t="shared" si="9"/>
        <v>97200</v>
      </c>
      <c r="L13" s="31">
        <f t="shared" si="9"/>
        <v>97200</v>
      </c>
      <c r="M13" s="31">
        <f t="shared" si="9"/>
        <v>97200</v>
      </c>
      <c r="N13" s="31">
        <f t="shared" si="9"/>
        <v>97200</v>
      </c>
      <c r="O13" s="31">
        <f t="shared" si="9"/>
        <v>97200</v>
      </c>
      <c r="P13" s="31">
        <f t="shared" si="9"/>
        <v>97200</v>
      </c>
      <c r="Q13" s="31">
        <f t="shared" si="9"/>
        <v>97200</v>
      </c>
      <c r="R13" s="31">
        <f t="shared" si="9"/>
        <v>97200</v>
      </c>
      <c r="S13" s="31">
        <f t="shared" si="9"/>
        <v>97200</v>
      </c>
      <c r="T13" s="31">
        <f t="shared" si="9"/>
        <v>97200</v>
      </c>
      <c r="U13" s="31">
        <f t="shared" si="9"/>
        <v>97200</v>
      </c>
      <c r="V13" s="31">
        <f t="shared" si="3"/>
        <v>1652400</v>
      </c>
      <c r="W13" s="30">
        <f t="shared" si="5"/>
        <v>0</v>
      </c>
    </row>
    <row r="14" spans="2:23" s="30" customFormat="1" ht="18.75" customHeight="1">
      <c r="B14" s="32"/>
      <c r="C14" s="250" t="s">
        <v>29</v>
      </c>
      <c r="D14" s="251"/>
      <c r="E14" s="31">
        <v>9000</v>
      </c>
      <c r="F14" s="31">
        <f>$E$14</f>
        <v>9000</v>
      </c>
      <c r="G14" s="31">
        <f>$E$14</f>
        <v>9000</v>
      </c>
      <c r="H14" s="31">
        <f>$E$14</f>
        <v>9000</v>
      </c>
      <c r="I14" s="31">
        <f>$E$14</f>
        <v>9000</v>
      </c>
      <c r="J14" s="31">
        <f>$E$14</f>
        <v>9000</v>
      </c>
      <c r="K14" s="31">
        <v>8000</v>
      </c>
      <c r="L14" s="31">
        <f t="shared" ref="L14:U14" si="10">$K$14</f>
        <v>8000</v>
      </c>
      <c r="M14" s="31">
        <f t="shared" si="10"/>
        <v>8000</v>
      </c>
      <c r="N14" s="31">
        <f t="shared" si="10"/>
        <v>8000</v>
      </c>
      <c r="O14" s="31">
        <f t="shared" si="10"/>
        <v>8000</v>
      </c>
      <c r="P14" s="31">
        <f t="shared" si="10"/>
        <v>8000</v>
      </c>
      <c r="Q14" s="31">
        <f t="shared" si="10"/>
        <v>8000</v>
      </c>
      <c r="R14" s="31">
        <f t="shared" si="10"/>
        <v>8000</v>
      </c>
      <c r="S14" s="31">
        <f t="shared" si="10"/>
        <v>8000</v>
      </c>
      <c r="T14" s="31">
        <f t="shared" si="10"/>
        <v>8000</v>
      </c>
      <c r="U14" s="31">
        <f t="shared" si="10"/>
        <v>8000</v>
      </c>
      <c r="V14" s="31">
        <f t="shared" si="3"/>
        <v>142000</v>
      </c>
      <c r="W14" s="30">
        <f t="shared" si="5"/>
        <v>0</v>
      </c>
    </row>
    <row r="15" spans="2:23" s="30" customFormat="1" ht="18.75" customHeight="1">
      <c r="B15" s="34"/>
      <c r="C15" s="250" t="s">
        <v>28</v>
      </c>
      <c r="D15" s="251"/>
      <c r="E15" s="31">
        <v>7000</v>
      </c>
      <c r="F15" s="31">
        <f t="shared" ref="F15:U15" si="11">$E$15</f>
        <v>7000</v>
      </c>
      <c r="G15" s="31">
        <f t="shared" si="11"/>
        <v>7000</v>
      </c>
      <c r="H15" s="31">
        <f t="shared" si="11"/>
        <v>7000</v>
      </c>
      <c r="I15" s="31">
        <f t="shared" si="11"/>
        <v>7000</v>
      </c>
      <c r="J15" s="31">
        <f t="shared" si="11"/>
        <v>7000</v>
      </c>
      <c r="K15" s="31">
        <f t="shared" si="11"/>
        <v>7000</v>
      </c>
      <c r="L15" s="31">
        <f t="shared" si="11"/>
        <v>7000</v>
      </c>
      <c r="M15" s="31">
        <f t="shared" si="11"/>
        <v>7000</v>
      </c>
      <c r="N15" s="31">
        <f t="shared" si="11"/>
        <v>7000</v>
      </c>
      <c r="O15" s="31">
        <f t="shared" si="11"/>
        <v>7000</v>
      </c>
      <c r="P15" s="31">
        <f t="shared" si="11"/>
        <v>7000</v>
      </c>
      <c r="Q15" s="31">
        <f t="shared" si="11"/>
        <v>7000</v>
      </c>
      <c r="R15" s="31">
        <f t="shared" si="11"/>
        <v>7000</v>
      </c>
      <c r="S15" s="31">
        <f t="shared" si="11"/>
        <v>7000</v>
      </c>
      <c r="T15" s="31">
        <f t="shared" si="11"/>
        <v>7000</v>
      </c>
      <c r="U15" s="31">
        <f t="shared" si="11"/>
        <v>7000</v>
      </c>
      <c r="V15" s="31">
        <f t="shared" si="3"/>
        <v>119000</v>
      </c>
      <c r="W15" s="30">
        <f t="shared" si="5"/>
        <v>0</v>
      </c>
    </row>
    <row r="16" spans="2:23" s="30" customFormat="1" ht="18.75" customHeight="1">
      <c r="B16" s="33"/>
      <c r="C16" s="250" t="s">
        <v>27</v>
      </c>
      <c r="D16" s="251"/>
      <c r="E16" s="31">
        <f>E8*0.05</f>
        <v>21600</v>
      </c>
      <c r="F16" s="31">
        <f>F8*0.05</f>
        <v>25353</v>
      </c>
      <c r="G16" s="31">
        <f>G8*0.05</f>
        <v>48330</v>
      </c>
      <c r="H16" s="31">
        <f>H8*0.05</f>
        <v>59157</v>
      </c>
      <c r="I16" s="31">
        <f t="shared" ref="I16:U16" si="12">I8*0.05</f>
        <v>63774</v>
      </c>
      <c r="J16" s="31">
        <f t="shared" si="12"/>
        <v>66123</v>
      </c>
      <c r="K16" s="31">
        <f t="shared" si="12"/>
        <v>67419</v>
      </c>
      <c r="L16" s="31">
        <f t="shared" si="12"/>
        <v>68364</v>
      </c>
      <c r="M16" s="31">
        <f t="shared" si="12"/>
        <v>69309</v>
      </c>
      <c r="N16" s="31">
        <f t="shared" si="12"/>
        <v>71172</v>
      </c>
      <c r="O16" s="31">
        <f t="shared" si="12"/>
        <v>71172</v>
      </c>
      <c r="P16" s="31">
        <f t="shared" si="12"/>
        <v>71172</v>
      </c>
      <c r="Q16" s="31">
        <f t="shared" si="12"/>
        <v>71172</v>
      </c>
      <c r="R16" s="31">
        <f t="shared" si="12"/>
        <v>71172</v>
      </c>
      <c r="S16" s="31">
        <f t="shared" si="12"/>
        <v>71172</v>
      </c>
      <c r="T16" s="31">
        <f t="shared" si="12"/>
        <v>71172</v>
      </c>
      <c r="U16" s="31">
        <f t="shared" si="12"/>
        <v>71172</v>
      </c>
      <c r="V16" s="31">
        <f t="shared" si="3"/>
        <v>1058805</v>
      </c>
      <c r="W16" s="30">
        <f t="shared" si="5"/>
        <v>0</v>
      </c>
    </row>
    <row r="17" spans="2:23" s="30" customFormat="1" ht="18.75" customHeight="1">
      <c r="B17" s="33"/>
      <c r="C17" s="250" t="s">
        <v>26</v>
      </c>
      <c r="D17" s="251"/>
      <c r="E17" s="31">
        <v>10000</v>
      </c>
      <c r="F17" s="31">
        <f t="shared" ref="F17:U17" si="13">$E$17</f>
        <v>10000</v>
      </c>
      <c r="G17" s="31">
        <f t="shared" si="13"/>
        <v>10000</v>
      </c>
      <c r="H17" s="31">
        <f t="shared" si="13"/>
        <v>10000</v>
      </c>
      <c r="I17" s="31">
        <f t="shared" si="13"/>
        <v>10000</v>
      </c>
      <c r="J17" s="31">
        <f t="shared" si="13"/>
        <v>10000</v>
      </c>
      <c r="K17" s="31">
        <f t="shared" si="13"/>
        <v>10000</v>
      </c>
      <c r="L17" s="31">
        <f t="shared" si="13"/>
        <v>10000</v>
      </c>
      <c r="M17" s="31">
        <f t="shared" si="13"/>
        <v>10000</v>
      </c>
      <c r="N17" s="31">
        <f t="shared" si="13"/>
        <v>10000</v>
      </c>
      <c r="O17" s="31">
        <f t="shared" si="13"/>
        <v>10000</v>
      </c>
      <c r="P17" s="31">
        <f t="shared" si="13"/>
        <v>10000</v>
      </c>
      <c r="Q17" s="31">
        <f t="shared" si="13"/>
        <v>10000</v>
      </c>
      <c r="R17" s="31">
        <f t="shared" si="13"/>
        <v>10000</v>
      </c>
      <c r="S17" s="31">
        <f t="shared" si="13"/>
        <v>10000</v>
      </c>
      <c r="T17" s="31">
        <f t="shared" si="13"/>
        <v>10000</v>
      </c>
      <c r="U17" s="31">
        <f t="shared" si="13"/>
        <v>10000</v>
      </c>
      <c r="V17" s="31">
        <f t="shared" si="3"/>
        <v>170000</v>
      </c>
      <c r="W17" s="30">
        <f t="shared" si="5"/>
        <v>0</v>
      </c>
    </row>
    <row r="18" spans="2:23" s="30" customFormat="1" ht="18.75" customHeight="1">
      <c r="B18" s="32"/>
      <c r="C18" s="250" t="s">
        <v>25</v>
      </c>
      <c r="D18" s="251"/>
      <c r="E18" s="31">
        <v>20000</v>
      </c>
      <c r="F18" s="31">
        <f t="shared" ref="F18:U18" si="14">$E$18</f>
        <v>20000</v>
      </c>
      <c r="G18" s="31">
        <f t="shared" si="14"/>
        <v>20000</v>
      </c>
      <c r="H18" s="31">
        <f t="shared" si="14"/>
        <v>20000</v>
      </c>
      <c r="I18" s="31">
        <f t="shared" si="14"/>
        <v>20000</v>
      </c>
      <c r="J18" s="31">
        <f t="shared" si="14"/>
        <v>20000</v>
      </c>
      <c r="K18" s="31">
        <f t="shared" si="14"/>
        <v>20000</v>
      </c>
      <c r="L18" s="31">
        <f t="shared" si="14"/>
        <v>20000</v>
      </c>
      <c r="M18" s="31">
        <f t="shared" si="14"/>
        <v>20000</v>
      </c>
      <c r="N18" s="31">
        <f t="shared" si="14"/>
        <v>20000</v>
      </c>
      <c r="O18" s="31">
        <f t="shared" si="14"/>
        <v>20000</v>
      </c>
      <c r="P18" s="31">
        <f t="shared" si="14"/>
        <v>20000</v>
      </c>
      <c r="Q18" s="31">
        <f t="shared" si="14"/>
        <v>20000</v>
      </c>
      <c r="R18" s="31">
        <f t="shared" si="14"/>
        <v>20000</v>
      </c>
      <c r="S18" s="31">
        <f t="shared" si="14"/>
        <v>20000</v>
      </c>
      <c r="T18" s="31">
        <f t="shared" si="14"/>
        <v>20000</v>
      </c>
      <c r="U18" s="31">
        <f t="shared" si="14"/>
        <v>20000</v>
      </c>
      <c r="V18" s="31">
        <f t="shared" si="3"/>
        <v>340000</v>
      </c>
      <c r="W18" s="30">
        <f t="shared" si="5"/>
        <v>0</v>
      </c>
    </row>
    <row r="19" spans="2:23" s="30" customFormat="1" ht="18.75" customHeight="1">
      <c r="B19" s="35"/>
      <c r="C19" s="250" t="s">
        <v>24</v>
      </c>
      <c r="D19" s="251"/>
      <c r="E19" s="31">
        <v>50000</v>
      </c>
      <c r="F19" s="31">
        <f>($K$19-$E$19)/6+E19</f>
        <v>50833.333333333336</v>
      </c>
      <c r="G19" s="31">
        <f>($K$19-$E$19)/6+F19</f>
        <v>51666.666666666672</v>
      </c>
      <c r="H19" s="31">
        <f>($K$19-$E$19)/6+G19</f>
        <v>52500.000000000007</v>
      </c>
      <c r="I19" s="31">
        <f>($J$19-$E$19)/5+H19</f>
        <v>53500.000000000007</v>
      </c>
      <c r="J19" s="31">
        <v>55000</v>
      </c>
      <c r="K19" s="31">
        <v>55000</v>
      </c>
      <c r="L19" s="31">
        <f t="shared" ref="L19:U19" si="15">$K$19</f>
        <v>55000</v>
      </c>
      <c r="M19" s="31">
        <f t="shared" si="15"/>
        <v>55000</v>
      </c>
      <c r="N19" s="31">
        <f t="shared" si="15"/>
        <v>55000</v>
      </c>
      <c r="O19" s="31">
        <f t="shared" si="15"/>
        <v>55000</v>
      </c>
      <c r="P19" s="31">
        <f t="shared" si="15"/>
        <v>55000</v>
      </c>
      <c r="Q19" s="31">
        <f t="shared" si="15"/>
        <v>55000</v>
      </c>
      <c r="R19" s="31">
        <f t="shared" si="15"/>
        <v>55000</v>
      </c>
      <c r="S19" s="31">
        <f t="shared" si="15"/>
        <v>55000</v>
      </c>
      <c r="T19" s="31">
        <f t="shared" si="15"/>
        <v>55000</v>
      </c>
      <c r="U19" s="31">
        <f t="shared" si="15"/>
        <v>55000</v>
      </c>
      <c r="V19" s="31">
        <f t="shared" si="3"/>
        <v>918500</v>
      </c>
      <c r="W19" s="30">
        <f t="shared" si="5"/>
        <v>0</v>
      </c>
    </row>
    <row r="20" spans="2:23" s="30" customFormat="1" ht="18.75" customHeight="1">
      <c r="B20" s="33"/>
      <c r="C20" s="250" t="s">
        <v>119</v>
      </c>
      <c r="D20" s="251"/>
      <c r="E20" s="31">
        <v>50000</v>
      </c>
      <c r="F20" s="31">
        <v>50000</v>
      </c>
      <c r="G20" s="31">
        <v>50000</v>
      </c>
      <c r="H20" s="31">
        <v>50000</v>
      </c>
      <c r="I20" s="31">
        <v>50000</v>
      </c>
      <c r="J20" s="31">
        <v>50000</v>
      </c>
      <c r="K20" s="31">
        <v>50000</v>
      </c>
      <c r="L20" s="31">
        <v>50000</v>
      </c>
      <c r="M20" s="31">
        <v>50000</v>
      </c>
      <c r="N20" s="31">
        <v>50000</v>
      </c>
      <c r="O20" s="31">
        <v>50000</v>
      </c>
      <c r="P20" s="31">
        <v>50000</v>
      </c>
      <c r="Q20" s="31">
        <v>50000</v>
      </c>
      <c r="R20" s="31">
        <v>50000</v>
      </c>
      <c r="S20" s="31">
        <v>50000</v>
      </c>
      <c r="T20" s="31">
        <v>50000</v>
      </c>
      <c r="U20" s="31">
        <v>50000</v>
      </c>
      <c r="V20" s="31">
        <f t="shared" si="3"/>
        <v>850000</v>
      </c>
      <c r="W20" s="30">
        <f t="shared" si="5"/>
        <v>0</v>
      </c>
    </row>
    <row r="21" spans="2:23" s="30" customFormat="1" ht="18.75" customHeight="1">
      <c r="B21" s="36"/>
      <c r="C21" s="255" t="s">
        <v>39</v>
      </c>
      <c r="D21" s="256"/>
      <c r="E21" s="31">
        <f>+IF(E7="1期目",⑥設備一覧表!$H$16,⑥設備一覧表!$K$16)</f>
        <v>383006</v>
      </c>
      <c r="F21" s="31">
        <f>+IF(F7="1期目",⑥設備一覧表!$H$16,⑥設備一覧表!$K$16)</f>
        <v>383006</v>
      </c>
      <c r="G21" s="31">
        <f>+IF(G7="1期目",⑥設備一覧表!$H$16,⑥設備一覧表!$K$16)</f>
        <v>383006</v>
      </c>
      <c r="H21" s="31">
        <f>+IF(H7="1期目",⑥設備一覧表!$H$16,⑥設備一覧表!$K$16)</f>
        <v>383006</v>
      </c>
      <c r="I21" s="31">
        <f>+IF(I7="1期目",⑥設備一覧表!$H$16,⑥設備一覧表!$K$16)</f>
        <v>383006</v>
      </c>
      <c r="J21" s="31">
        <f>+IF(J7="1期目",⑥設備一覧表!$H$16,⑥設備一覧表!$K$16)</f>
        <v>383006</v>
      </c>
      <c r="K21" s="31">
        <f>+IF(K7="1期目",⑥設備一覧表!$H$16,⑥設備一覧表!$K$16)</f>
        <v>383006</v>
      </c>
      <c r="L21" s="31">
        <f>+IF(L7="1期目",⑥設備一覧表!$H$16,⑥設備一覧表!$K$16)</f>
        <v>383006</v>
      </c>
      <c r="M21" s="31">
        <f>+IF(M7="1期目",⑥設備一覧表!$H$16,⑥設備一覧表!$K$16)</f>
        <v>383006</v>
      </c>
      <c r="N21" s="31">
        <f>+IF(N7="1期目",⑥設備一覧表!$H$16,⑥設備一覧表!$K$16)</f>
        <v>383006</v>
      </c>
      <c r="O21" s="31">
        <f>+IF(O7="1期目",⑥設備一覧表!$H$16,⑥設備一覧表!$K$16)</f>
        <v>383006</v>
      </c>
      <c r="P21" s="31">
        <f>+IF(P7="1期目",⑥設備一覧表!$H$16,⑥設備一覧表!$K$16)</f>
        <v>383006</v>
      </c>
      <c r="Q21" s="31">
        <f>+IF(Q7="1期目",⑥設備一覧表!$H$16,⑥設備一覧表!$K$16)</f>
        <v>48052</v>
      </c>
      <c r="R21" s="31">
        <f>+IF(R7="1期目",⑥設備一覧表!$H$16,⑥設備一覧表!$K$16)</f>
        <v>48052</v>
      </c>
      <c r="S21" s="31">
        <f>+IF(S7="1期目",⑥設備一覧表!$H$16,⑥設備一覧表!$K$16)</f>
        <v>48052</v>
      </c>
      <c r="T21" s="31">
        <f>+IF(T7="1期目",⑥設備一覧表!$H$16,⑥設備一覧表!$K$16)</f>
        <v>48052</v>
      </c>
      <c r="U21" s="31">
        <f>+IF(U7="1期目",⑥設備一覧表!$H$16,⑥設備一覧表!$K$16)</f>
        <v>48052</v>
      </c>
      <c r="V21" s="31">
        <f t="shared" si="3"/>
        <v>4836332</v>
      </c>
      <c r="W21" s="30">
        <f t="shared" si="5"/>
        <v>0</v>
      </c>
    </row>
    <row r="22" spans="2:23" s="179" customFormat="1" ht="22.5" customHeight="1">
      <c r="B22" s="252" t="s">
        <v>23</v>
      </c>
      <c r="C22" s="252"/>
      <c r="D22" s="252"/>
      <c r="E22" s="178">
        <f>+E10-E11</f>
        <v>-624380</v>
      </c>
      <c r="F22" s="178">
        <f t="shared" ref="F22:U22" si="16">+F10-F11</f>
        <v>-562395.1333333333</v>
      </c>
      <c r="G22" s="178">
        <f t="shared" si="16"/>
        <v>-135154.26666666672</v>
      </c>
      <c r="H22" s="178">
        <f t="shared" si="16"/>
        <v>61236.600000000093</v>
      </c>
      <c r="I22" s="178">
        <f t="shared" si="16"/>
        <v>139470.80000000005</v>
      </c>
      <c r="J22" s="178">
        <f t="shared" si="16"/>
        <v>-105887</v>
      </c>
      <c r="K22" s="178">
        <f t="shared" si="16"/>
        <v>-80263</v>
      </c>
      <c r="L22" s="178">
        <f t="shared" si="16"/>
        <v>-62308</v>
      </c>
      <c r="M22" s="178">
        <f t="shared" si="16"/>
        <v>-44353</v>
      </c>
      <c r="N22" s="178">
        <f t="shared" si="16"/>
        <v>-8956</v>
      </c>
      <c r="O22" s="178">
        <f t="shared" si="16"/>
        <v>-8956</v>
      </c>
      <c r="P22" s="178">
        <f t="shared" si="16"/>
        <v>-8956</v>
      </c>
      <c r="Q22" s="178">
        <f t="shared" si="16"/>
        <v>325998</v>
      </c>
      <c r="R22" s="178">
        <f t="shared" si="16"/>
        <v>325998</v>
      </c>
      <c r="S22" s="178">
        <f t="shared" si="16"/>
        <v>325998</v>
      </c>
      <c r="T22" s="178">
        <f t="shared" si="16"/>
        <v>325998</v>
      </c>
      <c r="U22" s="178">
        <f t="shared" si="16"/>
        <v>325998</v>
      </c>
      <c r="V22" s="178">
        <f t="shared" si="3"/>
        <v>189089.00000000023</v>
      </c>
      <c r="W22" s="179">
        <f t="shared" si="5"/>
        <v>2.3283064365386963E-10</v>
      </c>
    </row>
    <row r="23" spans="2:23" s="30" customFormat="1" ht="18.75" customHeight="1">
      <c r="E23" s="37"/>
      <c r="F23" s="37"/>
      <c r="G23" s="37"/>
      <c r="H23" s="37"/>
      <c r="I23" s="37"/>
      <c r="J23" s="37"/>
    </row>
    <row r="24" spans="2:23" s="30" customFormat="1" ht="18.75" customHeight="1">
      <c r="E24" s="37"/>
      <c r="F24" s="37"/>
      <c r="G24" s="37"/>
      <c r="H24" s="37"/>
      <c r="I24" s="37"/>
      <c r="J24" s="37"/>
    </row>
    <row r="25" spans="2:23" s="30" customFormat="1" ht="18.75" customHeight="1">
      <c r="E25" s="37"/>
      <c r="F25" s="37"/>
      <c r="G25" s="37"/>
      <c r="H25" s="37"/>
      <c r="I25" s="37"/>
      <c r="J25" s="37"/>
    </row>
    <row r="26" spans="2:23" s="30" customFormat="1" ht="18.75" customHeight="1">
      <c r="E26" s="37"/>
      <c r="F26" s="37"/>
      <c r="G26" s="37"/>
      <c r="H26" s="37"/>
      <c r="I26" s="37"/>
      <c r="J26" s="37"/>
      <c r="L26" s="30" t="s">
        <v>195</v>
      </c>
    </row>
    <row r="27" spans="2:23" s="30" customFormat="1" ht="18.75" customHeight="1">
      <c r="B27" s="25" t="s">
        <v>42</v>
      </c>
      <c r="E27" s="37"/>
      <c r="F27" s="37"/>
      <c r="G27" s="37"/>
      <c r="H27" s="37"/>
      <c r="L27" s="138" t="s">
        <v>120</v>
      </c>
      <c r="M27" s="134" t="s">
        <v>121</v>
      </c>
      <c r="N27" s="134" t="s">
        <v>0</v>
      </c>
    </row>
    <row r="28" spans="2:23" s="30" customFormat="1" ht="18.75" customHeight="1">
      <c r="B28" s="25"/>
      <c r="E28" s="137" t="s">
        <v>43</v>
      </c>
      <c r="F28" s="137" t="s">
        <v>44</v>
      </c>
      <c r="G28" s="37"/>
      <c r="H28" s="37"/>
      <c r="I28" s="254" t="s">
        <v>35</v>
      </c>
      <c r="J28" s="254"/>
      <c r="K28" s="254"/>
      <c r="L28" s="31">
        <f>+SUMIF($7:$7,"1期目",8:8)</f>
        <v>14058900</v>
      </c>
      <c r="M28" s="31">
        <f>+SUMIF($7:$7,"2期目",8:8)</f>
        <v>7117200</v>
      </c>
      <c r="N28" s="31">
        <f>SUM(L28:M28)</f>
        <v>21176100</v>
      </c>
    </row>
    <row r="29" spans="2:23" s="30" customFormat="1" ht="18.75" customHeight="1">
      <c r="B29" s="254" t="s">
        <v>35</v>
      </c>
      <c r="C29" s="254"/>
      <c r="D29" s="254"/>
      <c r="E29" s="31">
        <f>SUM(E8:I8+J8)/6</f>
        <v>292410</v>
      </c>
      <c r="F29" s="31">
        <f>K8</f>
        <v>1348380</v>
      </c>
      <c r="G29" s="37"/>
      <c r="H29" s="37"/>
      <c r="I29" s="257" t="s">
        <v>34</v>
      </c>
      <c r="J29" s="257"/>
      <c r="K29" s="257"/>
      <c r="L29" s="31">
        <f>+SUMIF($7:$7,"1期目",9:9)</f>
        <v>1924884</v>
      </c>
      <c r="M29" s="31">
        <f>+SUMIF($7:$7,"2期目",9:9)</f>
        <v>855090</v>
      </c>
      <c r="N29" s="31">
        <f>SUM(L29:M29)</f>
        <v>2779974</v>
      </c>
    </row>
    <row r="30" spans="2:23" s="30" customFormat="1" ht="18.75" customHeight="1">
      <c r="B30" s="262" t="s">
        <v>34</v>
      </c>
      <c r="C30" s="263"/>
      <c r="D30" s="264"/>
      <c r="E30" s="31">
        <f t="shared" ref="E30:E36" si="17">SUM(E9:I9+J9)/6</f>
        <v>49932</v>
      </c>
      <c r="F30" s="31">
        <f>K9</f>
        <v>171018</v>
      </c>
      <c r="G30" s="37"/>
      <c r="H30" s="37"/>
      <c r="I30" s="261" t="s">
        <v>33</v>
      </c>
      <c r="J30" s="261"/>
      <c r="K30" s="261"/>
      <c r="L30" s="57">
        <f>+L28-L29</f>
        <v>12134016</v>
      </c>
      <c r="M30" s="57">
        <f>+M28-M29</f>
        <v>6262110</v>
      </c>
      <c r="N30" s="57">
        <f>+N28-N29</f>
        <v>18396126</v>
      </c>
    </row>
    <row r="31" spans="2:23" s="30" customFormat="1" ht="18.75" customHeight="1">
      <c r="B31" s="265" t="s">
        <v>40</v>
      </c>
      <c r="C31" s="255" t="s">
        <v>31</v>
      </c>
      <c r="D31" s="256"/>
      <c r="E31" s="31">
        <f t="shared" si="17"/>
        <v>242478</v>
      </c>
      <c r="F31" s="31">
        <f>K12</f>
        <v>560000</v>
      </c>
      <c r="G31" s="37"/>
      <c r="H31" s="37"/>
      <c r="I31" s="253" t="s">
        <v>32</v>
      </c>
      <c r="J31" s="254"/>
      <c r="K31" s="254"/>
      <c r="L31" s="31">
        <f>SUM(L32:L41)</f>
        <v>13574917</v>
      </c>
      <c r="M31" s="31">
        <f>SUM(M32:M41)</f>
        <v>4632120</v>
      </c>
      <c r="N31" s="31">
        <f>SUM(N32:N41)</f>
        <v>18207037</v>
      </c>
    </row>
    <row r="32" spans="2:23" ht="18.75" customHeight="1">
      <c r="B32" s="265"/>
      <c r="C32" s="255" t="s">
        <v>30</v>
      </c>
      <c r="D32" s="256"/>
      <c r="E32" s="31">
        <f>SUM(E11:I11+J11)/6</f>
        <v>364189.16666666669</v>
      </c>
      <c r="F32" s="31">
        <f>K13</f>
        <v>97200</v>
      </c>
      <c r="G32" s="38"/>
      <c r="H32" s="38"/>
      <c r="I32" s="32"/>
      <c r="J32" s="255" t="s">
        <v>31</v>
      </c>
      <c r="K32" s="256"/>
      <c r="L32" s="31">
        <f t="shared" ref="L32:L41" si="18">+SUMIF($7:$7,"1期目",12:12)</f>
        <v>5320000</v>
      </c>
      <c r="M32" s="31">
        <f t="shared" ref="M32:M41" si="19">+SUMIF($7:$7,"2期目",12:12)</f>
        <v>2800000</v>
      </c>
      <c r="N32" s="31">
        <f t="shared" ref="N32:N41" si="20">SUM(L32:M32)</f>
        <v>8120000</v>
      </c>
    </row>
    <row r="33" spans="2:14" ht="18.75" customHeight="1">
      <c r="B33" s="265"/>
      <c r="C33" s="255" t="s">
        <v>29</v>
      </c>
      <c r="D33" s="256"/>
      <c r="E33" s="31">
        <f>SUM(E12:I12+J12)/6</f>
        <v>140000</v>
      </c>
      <c r="F33" s="31">
        <f>K14</f>
        <v>8000</v>
      </c>
      <c r="G33" s="38"/>
      <c r="H33" s="38"/>
      <c r="I33" s="33"/>
      <c r="J33" s="255" t="s">
        <v>30</v>
      </c>
      <c r="K33" s="256"/>
      <c r="L33" s="31">
        <f t="shared" si="18"/>
        <v>1166400</v>
      </c>
      <c r="M33" s="31">
        <f t="shared" si="19"/>
        <v>486000</v>
      </c>
      <c r="N33" s="31">
        <f t="shared" si="20"/>
        <v>1652400</v>
      </c>
    </row>
    <row r="34" spans="2:14" ht="18.75" customHeight="1">
      <c r="B34" s="265"/>
      <c r="C34" s="255" t="s">
        <v>41</v>
      </c>
      <c r="D34" s="256"/>
      <c r="E34" s="31">
        <f t="shared" si="17"/>
        <v>32400</v>
      </c>
      <c r="F34" s="31">
        <f>SUM(K15:K21)</f>
        <v>592425</v>
      </c>
      <c r="G34" s="38"/>
      <c r="H34" s="38"/>
      <c r="I34" s="32"/>
      <c r="J34" s="255" t="s">
        <v>29</v>
      </c>
      <c r="K34" s="256"/>
      <c r="L34" s="31">
        <f t="shared" si="18"/>
        <v>102000</v>
      </c>
      <c r="M34" s="31">
        <f t="shared" si="19"/>
        <v>40000</v>
      </c>
      <c r="N34" s="31">
        <f t="shared" si="20"/>
        <v>142000</v>
      </c>
    </row>
    <row r="35" spans="2:14" ht="18.75" customHeight="1">
      <c r="B35" s="265"/>
      <c r="C35" s="255" t="s">
        <v>0</v>
      </c>
      <c r="D35" s="256"/>
      <c r="E35" s="31">
        <f t="shared" si="17"/>
        <v>3000</v>
      </c>
      <c r="F35" s="31">
        <f>SUM(F31:F34)</f>
        <v>1257625</v>
      </c>
      <c r="G35" s="38"/>
      <c r="H35" s="38"/>
      <c r="I35" s="34"/>
      <c r="J35" s="255" t="s">
        <v>28</v>
      </c>
      <c r="K35" s="256"/>
      <c r="L35" s="31">
        <f t="shared" si="18"/>
        <v>84000</v>
      </c>
      <c r="M35" s="31">
        <f t="shared" si="19"/>
        <v>35000</v>
      </c>
      <c r="N35" s="31">
        <f t="shared" si="20"/>
        <v>119000</v>
      </c>
    </row>
    <row r="36" spans="2:14" ht="18.75" customHeight="1">
      <c r="B36" s="258" t="s">
        <v>45</v>
      </c>
      <c r="C36" s="259"/>
      <c r="D36" s="260"/>
      <c r="E36" s="57">
        <f t="shared" si="17"/>
        <v>2333.3333333333335</v>
      </c>
      <c r="F36" s="57">
        <f>F29-F30-F35</f>
        <v>-80263</v>
      </c>
      <c r="G36" s="38"/>
      <c r="H36" s="38"/>
      <c r="I36" s="33"/>
      <c r="J36" s="255" t="s">
        <v>27</v>
      </c>
      <c r="K36" s="256"/>
      <c r="L36" s="31">
        <f t="shared" si="18"/>
        <v>702945</v>
      </c>
      <c r="M36" s="31">
        <f t="shared" si="19"/>
        <v>355860</v>
      </c>
      <c r="N36" s="31">
        <f t="shared" si="20"/>
        <v>1058805</v>
      </c>
    </row>
    <row r="37" spans="2:14" ht="18.75" customHeight="1">
      <c r="E37" s="38"/>
      <c r="F37" s="38"/>
      <c r="G37" s="38"/>
      <c r="H37" s="38"/>
      <c r="I37" s="33"/>
      <c r="J37" s="255" t="s">
        <v>26</v>
      </c>
      <c r="K37" s="256"/>
      <c r="L37" s="31">
        <f t="shared" si="18"/>
        <v>120000</v>
      </c>
      <c r="M37" s="31">
        <f t="shared" si="19"/>
        <v>50000</v>
      </c>
      <c r="N37" s="31">
        <f>SUM(L37:M37)</f>
        <v>170000</v>
      </c>
    </row>
    <row r="38" spans="2:14" ht="18.75" customHeight="1">
      <c r="E38" s="38"/>
      <c r="F38" s="38"/>
      <c r="G38" s="38"/>
      <c r="H38" s="38"/>
      <c r="I38" s="32"/>
      <c r="J38" s="255" t="s">
        <v>25</v>
      </c>
      <c r="K38" s="256"/>
      <c r="L38" s="31">
        <f t="shared" si="18"/>
        <v>240000</v>
      </c>
      <c r="M38" s="31">
        <f t="shared" si="19"/>
        <v>100000</v>
      </c>
      <c r="N38" s="31">
        <f t="shared" si="20"/>
        <v>340000</v>
      </c>
    </row>
    <row r="39" spans="2:14" ht="18.75" customHeight="1">
      <c r="E39" s="38"/>
      <c r="F39" s="38"/>
      <c r="G39" s="38"/>
      <c r="H39" s="38"/>
      <c r="I39" s="35"/>
      <c r="J39" s="255" t="s">
        <v>24</v>
      </c>
      <c r="K39" s="256"/>
      <c r="L39" s="31">
        <f t="shared" si="18"/>
        <v>643500</v>
      </c>
      <c r="M39" s="31">
        <f t="shared" si="19"/>
        <v>275000</v>
      </c>
      <c r="N39" s="31">
        <f t="shared" si="20"/>
        <v>918500</v>
      </c>
    </row>
    <row r="40" spans="2:14" ht="18.75" customHeight="1">
      <c r="E40" s="38"/>
      <c r="F40" s="38"/>
      <c r="G40" s="38"/>
      <c r="H40" s="38"/>
      <c r="I40" s="33"/>
      <c r="J40" s="255" t="s">
        <v>119</v>
      </c>
      <c r="K40" s="256"/>
      <c r="L40" s="31">
        <f t="shared" si="18"/>
        <v>600000</v>
      </c>
      <c r="M40" s="31">
        <f t="shared" si="19"/>
        <v>250000</v>
      </c>
      <c r="N40" s="31">
        <f t="shared" si="20"/>
        <v>850000</v>
      </c>
    </row>
    <row r="41" spans="2:14" ht="18.75" customHeight="1">
      <c r="E41" s="38"/>
      <c r="F41" s="38"/>
      <c r="G41" s="38"/>
      <c r="H41" s="38"/>
      <c r="I41" s="36"/>
      <c r="J41" s="255" t="s">
        <v>39</v>
      </c>
      <c r="K41" s="256"/>
      <c r="L41" s="31">
        <f t="shared" si="18"/>
        <v>4596072</v>
      </c>
      <c r="M41" s="31">
        <f t="shared" si="19"/>
        <v>240260</v>
      </c>
      <c r="N41" s="31">
        <f t="shared" si="20"/>
        <v>4836332</v>
      </c>
    </row>
    <row r="42" spans="2:14" ht="18.75" customHeight="1">
      <c r="E42" s="38"/>
      <c r="F42" s="38"/>
      <c r="G42" s="38"/>
      <c r="H42" s="38"/>
      <c r="I42" s="261" t="s">
        <v>23</v>
      </c>
      <c r="J42" s="261"/>
      <c r="K42" s="261"/>
      <c r="L42" s="57">
        <f>+L30-L31</f>
        <v>-1440901</v>
      </c>
      <c r="M42" s="57">
        <f>+M30-M31</f>
        <v>1629990</v>
      </c>
      <c r="N42" s="57">
        <f>+N30-N31</f>
        <v>189089</v>
      </c>
    </row>
    <row r="43" spans="2:14" ht="18.75" customHeight="1">
      <c r="E43" s="38"/>
      <c r="F43" s="38"/>
      <c r="G43" s="38"/>
      <c r="H43" s="38"/>
      <c r="I43" s="38"/>
      <c r="J43" s="38"/>
    </row>
    <row r="44" spans="2:14" ht="18.75" customHeight="1">
      <c r="E44" s="38"/>
      <c r="F44" s="38"/>
      <c r="G44" s="38"/>
      <c r="H44" s="38"/>
      <c r="I44" s="38"/>
      <c r="J44" s="38"/>
    </row>
    <row r="45" spans="2:14" ht="18.75" customHeight="1">
      <c r="E45" s="38"/>
      <c r="F45" s="38"/>
      <c r="G45" s="38"/>
      <c r="H45" s="38"/>
      <c r="I45" s="38"/>
      <c r="J45" s="38"/>
    </row>
    <row r="46" spans="2:14" ht="18.75" customHeight="1">
      <c r="E46" s="38"/>
      <c r="F46" s="38"/>
      <c r="G46" s="38"/>
      <c r="H46" s="38"/>
      <c r="I46" s="38"/>
      <c r="J46" s="38"/>
    </row>
  </sheetData>
  <mergeCells count="39">
    <mergeCell ref="J36:K36"/>
    <mergeCell ref="I42:K42"/>
    <mergeCell ref="J37:K37"/>
    <mergeCell ref="J38:K38"/>
    <mergeCell ref="J39:K39"/>
    <mergeCell ref="J40:K40"/>
    <mergeCell ref="J41:K41"/>
    <mergeCell ref="C20:D20"/>
    <mergeCell ref="I28:K28"/>
    <mergeCell ref="I29:K29"/>
    <mergeCell ref="I30:K30"/>
    <mergeCell ref="I31:K31"/>
    <mergeCell ref="B30:D30"/>
    <mergeCell ref="B31:B35"/>
    <mergeCell ref="C35:D35"/>
    <mergeCell ref="B29:D29"/>
    <mergeCell ref="B22:D22"/>
    <mergeCell ref="C21:D21"/>
    <mergeCell ref="J32:K32"/>
    <mergeCell ref="J33:K33"/>
    <mergeCell ref="J34:K34"/>
    <mergeCell ref="J35:K35"/>
    <mergeCell ref="B36:D36"/>
    <mergeCell ref="C34:D34"/>
    <mergeCell ref="C33:D33"/>
    <mergeCell ref="C32:D32"/>
    <mergeCell ref="C31:D31"/>
    <mergeCell ref="B8:D8"/>
    <mergeCell ref="B9:D9"/>
    <mergeCell ref="C13:D13"/>
    <mergeCell ref="C16:D16"/>
    <mergeCell ref="C17:D17"/>
    <mergeCell ref="C15:D15"/>
    <mergeCell ref="C18:D18"/>
    <mergeCell ref="C19:D19"/>
    <mergeCell ref="B10:D10"/>
    <mergeCell ref="B11:D11"/>
    <mergeCell ref="C12:D12"/>
    <mergeCell ref="C14:D14"/>
  </mergeCells>
  <phoneticPr fontId="2"/>
  <conditionalFormatting sqref="E16:U16">
    <cfRule type="expression" dxfId="30" priority="39">
      <formula>$E$16=""</formula>
    </cfRule>
  </conditionalFormatting>
  <conditionalFormatting sqref="E15">
    <cfRule type="expression" dxfId="29" priority="37">
      <formula>$E$15=""</formula>
    </cfRule>
  </conditionalFormatting>
  <conditionalFormatting sqref="E13">
    <cfRule type="expression" dxfId="28" priority="36">
      <formula>$E$13=""</formula>
    </cfRule>
  </conditionalFormatting>
  <conditionalFormatting sqref="E14">
    <cfRule type="expression" dxfId="27" priority="35">
      <formula>$E$14=""</formula>
    </cfRule>
  </conditionalFormatting>
  <conditionalFormatting sqref="E17:E18">
    <cfRule type="expression" dxfId="26" priority="34">
      <formula>$E17=""</formula>
    </cfRule>
  </conditionalFormatting>
  <conditionalFormatting sqref="K19">
    <cfRule type="expression" dxfId="25" priority="33">
      <formula>$K$19=""</formula>
    </cfRule>
  </conditionalFormatting>
  <conditionalFormatting sqref="E19:E20 F20:U20">
    <cfRule type="expression" dxfId="24" priority="32">
      <formula>$E$19=""</formula>
    </cfRule>
  </conditionalFormatting>
  <conditionalFormatting sqref="E21:P21">
    <cfRule type="expression" dxfId="23" priority="31">
      <formula>$E$21=""</formula>
    </cfRule>
  </conditionalFormatting>
  <conditionalFormatting sqref="F21">
    <cfRule type="expression" dxfId="22" priority="30">
      <formula>$E$21=""</formula>
    </cfRule>
  </conditionalFormatting>
  <conditionalFormatting sqref="G21">
    <cfRule type="expression" dxfId="21" priority="29">
      <formula>$E$21=""</formula>
    </cfRule>
  </conditionalFormatting>
  <conditionalFormatting sqref="H21">
    <cfRule type="expression" dxfId="20" priority="28">
      <formula>$E$21=""</formula>
    </cfRule>
  </conditionalFormatting>
  <conditionalFormatting sqref="I21">
    <cfRule type="expression" dxfId="19" priority="27">
      <formula>$E$21=""</formula>
    </cfRule>
  </conditionalFormatting>
  <conditionalFormatting sqref="J21">
    <cfRule type="expression" dxfId="18" priority="26">
      <formula>$E$21=""</formula>
    </cfRule>
  </conditionalFormatting>
  <conditionalFormatting sqref="K21">
    <cfRule type="expression" dxfId="17" priority="25">
      <formula>$E$21=""</formula>
    </cfRule>
  </conditionalFormatting>
  <conditionalFormatting sqref="L21">
    <cfRule type="expression" dxfId="16" priority="24">
      <formula>$E$21=""</formula>
    </cfRule>
  </conditionalFormatting>
  <conditionalFormatting sqref="M21">
    <cfRule type="expression" dxfId="15" priority="23">
      <formula>$E$21=""</formula>
    </cfRule>
  </conditionalFormatting>
  <conditionalFormatting sqref="N21">
    <cfRule type="expression" dxfId="14" priority="22">
      <formula>$E$21=""</formula>
    </cfRule>
  </conditionalFormatting>
  <conditionalFormatting sqref="O21">
    <cfRule type="expression" dxfId="13" priority="21">
      <formula>$E$21=""</formula>
    </cfRule>
  </conditionalFormatting>
  <conditionalFormatting sqref="P21">
    <cfRule type="expression" dxfId="12" priority="20">
      <formula>$E$21=""</formula>
    </cfRule>
  </conditionalFormatting>
  <conditionalFormatting sqref="Q21">
    <cfRule type="expression" dxfId="11" priority="8">
      <formula>$E$21=""</formula>
    </cfRule>
  </conditionalFormatting>
  <conditionalFormatting sqref="R21">
    <cfRule type="expression" dxfId="10" priority="7">
      <formula>$E$21=""</formula>
    </cfRule>
  </conditionalFormatting>
  <conditionalFormatting sqref="S21">
    <cfRule type="expression" dxfId="9" priority="6">
      <formula>$E$21=""</formula>
    </cfRule>
  </conditionalFormatting>
  <conditionalFormatting sqref="T21">
    <cfRule type="expression" dxfId="8" priority="5">
      <formula>$E$21=""</formula>
    </cfRule>
  </conditionalFormatting>
  <conditionalFormatting sqref="U21">
    <cfRule type="expression" dxfId="7" priority="4">
      <formula>$E$21=""</formula>
    </cfRule>
  </conditionalFormatting>
  <conditionalFormatting sqref="V21">
    <cfRule type="expression" dxfId="6" priority="1">
      <formula>$E$21=""</formula>
    </cfRule>
  </conditionalFormatting>
  <conditionalFormatting sqref="V16">
    <cfRule type="expression" dxfId="5" priority="3">
      <formula>$E$16=""</formula>
    </cfRule>
  </conditionalFormatting>
  <conditionalFormatting sqref="V20">
    <cfRule type="expression" dxfId="4" priority="2">
      <formula>$E$19=""</formula>
    </cfRule>
  </conditionalFormatting>
  <pageMargins left="0.70866141732283472" right="0.70866141732283472" top="0.74803149606299213" bottom="0.74803149606299213" header="0.31496062992125984" footer="0.31496062992125984"/>
  <pageSetup paperSize="9" scale="70" fitToHeight="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W49"/>
  <sheetViews>
    <sheetView showGridLines="0" topLeftCell="A23" zoomScaleNormal="100" zoomScaleSheetLayoutView="100" workbookViewId="0">
      <selection activeCell="C34" sqref="C34"/>
    </sheetView>
  </sheetViews>
  <sheetFormatPr defaultColWidth="9" defaultRowHeight="18.75" customHeight="1"/>
  <cols>
    <col min="1" max="2" width="2.625" style="58" customWidth="1"/>
    <col min="3" max="3" width="13.125" style="58" customWidth="1"/>
    <col min="4" max="4" width="5" style="104" bestFit="1" customWidth="1"/>
    <col min="5" max="5" width="10.625" style="59" customWidth="1"/>
    <col min="6" max="6" width="0.75" style="59" customWidth="1"/>
    <col min="7" max="23" width="10.625" style="58" customWidth="1"/>
    <col min="24" max="16384" width="9" style="58"/>
  </cols>
  <sheetData>
    <row r="2" spans="1:23" ht="18.75" customHeight="1">
      <c r="A2" s="269" t="s">
        <v>138</v>
      </c>
      <c r="B2" s="269"/>
      <c r="C2" s="269"/>
      <c r="D2" s="269"/>
      <c r="E2" s="269"/>
      <c r="F2" s="140"/>
      <c r="G2" s="60"/>
      <c r="H2" s="60"/>
      <c r="I2" s="61"/>
      <c r="J2" s="60"/>
      <c r="K2" s="60"/>
      <c r="L2" s="60"/>
      <c r="M2" s="60"/>
      <c r="N2" s="60"/>
      <c r="O2" s="60"/>
      <c r="P2" s="60"/>
      <c r="Q2" s="60"/>
      <c r="R2" s="60"/>
      <c r="S2" s="60"/>
      <c r="T2" s="60"/>
      <c r="U2" s="60"/>
      <c r="V2" s="60"/>
      <c r="W2" s="62">
        <f>+⑦損益シミュレーション!V2</f>
        <v>42461</v>
      </c>
    </row>
    <row r="3" spans="1:23" ht="18.75" customHeight="1">
      <c r="A3" s="25"/>
      <c r="B3" s="25"/>
      <c r="G3" s="60"/>
      <c r="H3" s="60"/>
      <c r="I3" s="60"/>
      <c r="J3" s="60"/>
      <c r="K3" s="60"/>
      <c r="L3" s="60"/>
      <c r="M3" s="60"/>
      <c r="N3" s="60"/>
      <c r="O3" s="60"/>
      <c r="P3" s="60"/>
      <c r="Q3" s="60"/>
      <c r="R3" s="60"/>
      <c r="S3" s="60"/>
      <c r="T3" s="60"/>
      <c r="U3" s="60"/>
      <c r="V3" s="60"/>
      <c r="W3" s="63" t="s">
        <v>38</v>
      </c>
    </row>
    <row r="4" spans="1:23" s="53" customFormat="1" ht="18.75" customHeight="1">
      <c r="A4" s="52"/>
      <c r="B4" s="52"/>
      <c r="D4" s="105"/>
      <c r="E4" s="54">
        <f>DATE(YEAR(G4),MONTH(G4)-1,1)</f>
        <v>42430</v>
      </c>
      <c r="F4" s="54"/>
      <c r="G4" s="54">
        <f>$W$2</f>
        <v>42461</v>
      </c>
      <c r="H4" s="54">
        <f>DATE(YEAR(G4),MONTH(G4)+1,1)</f>
        <v>42491</v>
      </c>
      <c r="I4" s="54">
        <f t="shared" ref="I4:W4" si="0">DATE(YEAR(H4),MONTH(H4)+1,1)</f>
        <v>42522</v>
      </c>
      <c r="J4" s="54">
        <f t="shared" si="0"/>
        <v>42552</v>
      </c>
      <c r="K4" s="54">
        <f t="shared" si="0"/>
        <v>42583</v>
      </c>
      <c r="L4" s="54">
        <f>DATE(YEAR(K4),MONTH(K4)+1,1)</f>
        <v>42614</v>
      </c>
      <c r="M4" s="54">
        <f t="shared" si="0"/>
        <v>42644</v>
      </c>
      <c r="N4" s="54">
        <f t="shared" si="0"/>
        <v>42675</v>
      </c>
      <c r="O4" s="54">
        <f t="shared" si="0"/>
        <v>42705</v>
      </c>
      <c r="P4" s="54">
        <f t="shared" si="0"/>
        <v>42736</v>
      </c>
      <c r="Q4" s="54">
        <f t="shared" si="0"/>
        <v>42767</v>
      </c>
      <c r="R4" s="54">
        <f t="shared" si="0"/>
        <v>42795</v>
      </c>
      <c r="S4" s="54">
        <f t="shared" si="0"/>
        <v>42826</v>
      </c>
      <c r="T4" s="54">
        <f t="shared" si="0"/>
        <v>42856</v>
      </c>
      <c r="U4" s="54">
        <f t="shared" si="0"/>
        <v>42887</v>
      </c>
      <c r="V4" s="54">
        <f t="shared" si="0"/>
        <v>42917</v>
      </c>
      <c r="W4" s="54">
        <f t="shared" si="0"/>
        <v>42948</v>
      </c>
    </row>
    <row r="5" spans="1:23" s="64" customFormat="1" ht="18.75" customHeight="1">
      <c r="D5" s="141" t="s">
        <v>37</v>
      </c>
      <c r="E5" s="142">
        <f>YEAR(E4)</f>
        <v>2016</v>
      </c>
      <c r="F5" s="142"/>
      <c r="G5" s="142">
        <f>YEAR(G4)</f>
        <v>2016</v>
      </c>
      <c r="H5" s="142">
        <f t="shared" ref="H5:W5" si="1">YEAR(H4)</f>
        <v>2016</v>
      </c>
      <c r="I5" s="142">
        <f t="shared" si="1"/>
        <v>2016</v>
      </c>
      <c r="J5" s="142">
        <f t="shared" si="1"/>
        <v>2016</v>
      </c>
      <c r="K5" s="142">
        <f t="shared" si="1"/>
        <v>2016</v>
      </c>
      <c r="L5" s="142">
        <f t="shared" si="1"/>
        <v>2016</v>
      </c>
      <c r="M5" s="142">
        <f t="shared" si="1"/>
        <v>2016</v>
      </c>
      <c r="N5" s="142">
        <f t="shared" si="1"/>
        <v>2016</v>
      </c>
      <c r="O5" s="142">
        <f t="shared" si="1"/>
        <v>2016</v>
      </c>
      <c r="P5" s="142">
        <f t="shared" si="1"/>
        <v>2017</v>
      </c>
      <c r="Q5" s="142">
        <f t="shared" si="1"/>
        <v>2017</v>
      </c>
      <c r="R5" s="142">
        <f t="shared" si="1"/>
        <v>2017</v>
      </c>
      <c r="S5" s="142">
        <f t="shared" si="1"/>
        <v>2017</v>
      </c>
      <c r="T5" s="142">
        <f t="shared" si="1"/>
        <v>2017</v>
      </c>
      <c r="U5" s="142">
        <f t="shared" si="1"/>
        <v>2017</v>
      </c>
      <c r="V5" s="142">
        <f t="shared" si="1"/>
        <v>2017</v>
      </c>
      <c r="W5" s="142">
        <f t="shared" si="1"/>
        <v>2017</v>
      </c>
    </row>
    <row r="6" spans="1:23" s="64" customFormat="1" ht="18.75" customHeight="1">
      <c r="D6" s="141" t="s">
        <v>36</v>
      </c>
      <c r="E6" s="143">
        <f>MONTH(E4)</f>
        <v>3</v>
      </c>
      <c r="F6" s="143"/>
      <c r="G6" s="143">
        <f>MONTH(G4)</f>
        <v>4</v>
      </c>
      <c r="H6" s="143">
        <f t="shared" ref="H6:W6" si="2">MONTH(H4)</f>
        <v>5</v>
      </c>
      <c r="I6" s="143">
        <f t="shared" si="2"/>
        <v>6</v>
      </c>
      <c r="J6" s="143">
        <f t="shared" si="2"/>
        <v>7</v>
      </c>
      <c r="K6" s="143">
        <f t="shared" si="2"/>
        <v>8</v>
      </c>
      <c r="L6" s="143">
        <f t="shared" si="2"/>
        <v>9</v>
      </c>
      <c r="M6" s="143">
        <f t="shared" si="2"/>
        <v>10</v>
      </c>
      <c r="N6" s="143">
        <f t="shared" si="2"/>
        <v>11</v>
      </c>
      <c r="O6" s="143">
        <f t="shared" si="2"/>
        <v>12</v>
      </c>
      <c r="P6" s="143">
        <f t="shared" si="2"/>
        <v>1</v>
      </c>
      <c r="Q6" s="143">
        <f t="shared" si="2"/>
        <v>2</v>
      </c>
      <c r="R6" s="143">
        <f t="shared" si="2"/>
        <v>3</v>
      </c>
      <c r="S6" s="143">
        <f t="shared" si="2"/>
        <v>4</v>
      </c>
      <c r="T6" s="143">
        <f t="shared" si="2"/>
        <v>5</v>
      </c>
      <c r="U6" s="143">
        <f t="shared" si="2"/>
        <v>6</v>
      </c>
      <c r="V6" s="143">
        <f t="shared" si="2"/>
        <v>7</v>
      </c>
      <c r="W6" s="143">
        <f t="shared" si="2"/>
        <v>8</v>
      </c>
    </row>
    <row r="7" spans="1:23" s="64" customFormat="1" ht="18.75" customHeight="1">
      <c r="D7" s="134"/>
      <c r="E7" s="136" t="s">
        <v>175</v>
      </c>
      <c r="F7" s="136"/>
      <c r="G7" s="136" t="str">
        <f>+⑦損益シミュレーション!E7</f>
        <v>1期目</v>
      </c>
      <c r="H7" s="136" t="str">
        <f>+⑦損益シミュレーション!F7</f>
        <v>1期目</v>
      </c>
      <c r="I7" s="136" t="str">
        <f>+⑦損益シミュレーション!G7</f>
        <v>1期目</v>
      </c>
      <c r="J7" s="136" t="str">
        <f>+⑦損益シミュレーション!H7</f>
        <v>1期目</v>
      </c>
      <c r="K7" s="136" t="str">
        <f>+⑦損益シミュレーション!I7</f>
        <v>1期目</v>
      </c>
      <c r="L7" s="136" t="str">
        <f>+⑦損益シミュレーション!J7</f>
        <v>1期目</v>
      </c>
      <c r="M7" s="136" t="str">
        <f>+⑦損益シミュレーション!K7</f>
        <v>1期目</v>
      </c>
      <c r="N7" s="136" t="str">
        <f>+⑦損益シミュレーション!L7</f>
        <v>1期目</v>
      </c>
      <c r="O7" s="136" t="str">
        <f>+⑦損益シミュレーション!M7</f>
        <v>1期目</v>
      </c>
      <c r="P7" s="136" t="str">
        <f>+⑦損益シミュレーション!N7</f>
        <v>1期目</v>
      </c>
      <c r="Q7" s="136" t="str">
        <f>+⑦損益シミュレーション!O7</f>
        <v>1期目</v>
      </c>
      <c r="R7" s="136" t="str">
        <f>+⑦損益シミュレーション!P7</f>
        <v>1期目</v>
      </c>
      <c r="S7" s="136" t="str">
        <f>+⑦損益シミュレーション!Q7</f>
        <v>2期目</v>
      </c>
      <c r="T7" s="136" t="str">
        <f>+⑦損益シミュレーション!R7</f>
        <v>2期目</v>
      </c>
      <c r="U7" s="136" t="str">
        <f>+⑦損益シミュレーション!S7</f>
        <v>2期目</v>
      </c>
      <c r="V7" s="136" t="str">
        <f>+⑦損益シミュレーション!T7</f>
        <v>2期目</v>
      </c>
      <c r="W7" s="136" t="str">
        <f>+⑦損益シミュレーション!U7</f>
        <v>2期目</v>
      </c>
    </row>
    <row r="8" spans="1:23" s="64" customFormat="1" ht="18.75" customHeight="1">
      <c r="A8" s="267" t="s">
        <v>141</v>
      </c>
      <c r="B8" s="267"/>
      <c r="C8" s="268"/>
      <c r="D8" s="268"/>
      <c r="E8" s="66">
        <f>SUM(E9:E11)</f>
        <v>0</v>
      </c>
      <c r="F8" s="66"/>
      <c r="G8" s="66">
        <f>SUM(G9:G11)</f>
        <v>432000</v>
      </c>
      <c r="H8" s="66">
        <f t="shared" ref="H8:W8" si="3">SUM(H9:H11)</f>
        <v>507060</v>
      </c>
      <c r="I8" s="66">
        <f t="shared" si="3"/>
        <v>966600</v>
      </c>
      <c r="J8" s="66">
        <f t="shared" si="3"/>
        <v>1183140</v>
      </c>
      <c r="K8" s="66">
        <f t="shared" si="3"/>
        <v>1275480</v>
      </c>
      <c r="L8" s="66">
        <f t="shared" si="3"/>
        <v>1322460</v>
      </c>
      <c r="M8" s="66">
        <f t="shared" si="3"/>
        <v>1348380</v>
      </c>
      <c r="N8" s="66">
        <f t="shared" si="3"/>
        <v>1367280</v>
      </c>
      <c r="O8" s="66">
        <f t="shared" si="3"/>
        <v>1386180</v>
      </c>
      <c r="P8" s="66">
        <f t="shared" si="3"/>
        <v>1423440</v>
      </c>
      <c r="Q8" s="66">
        <f t="shared" si="3"/>
        <v>1423440</v>
      </c>
      <c r="R8" s="66">
        <f t="shared" si="3"/>
        <v>1423440</v>
      </c>
      <c r="S8" s="66">
        <f t="shared" si="3"/>
        <v>1423440</v>
      </c>
      <c r="T8" s="66">
        <f t="shared" si="3"/>
        <v>1423440</v>
      </c>
      <c r="U8" s="66">
        <f t="shared" si="3"/>
        <v>1423440</v>
      </c>
      <c r="V8" s="66">
        <f t="shared" si="3"/>
        <v>1423440</v>
      </c>
      <c r="W8" s="66">
        <f t="shared" si="3"/>
        <v>1423440</v>
      </c>
    </row>
    <row r="9" spans="1:23" s="64" customFormat="1" ht="18.75" customHeight="1">
      <c r="A9" s="67"/>
      <c r="B9" s="68"/>
      <c r="C9" s="272" t="s">
        <v>209</v>
      </c>
      <c r="D9" s="273"/>
      <c r="E9" s="70"/>
      <c r="F9" s="70"/>
      <c r="G9" s="71">
        <f>+③売上・原価!U37</f>
        <v>432000</v>
      </c>
      <c r="H9" s="71">
        <f>+③売上・原価!V37</f>
        <v>459540</v>
      </c>
      <c r="I9" s="71">
        <f>+③売上・原価!W37</f>
        <v>487080</v>
      </c>
      <c r="J9" s="71">
        <f>+③売上・原価!X37</f>
        <v>514620</v>
      </c>
      <c r="K9" s="71">
        <f>+③売上・原価!Y37</f>
        <v>542160</v>
      </c>
      <c r="L9" s="71">
        <f>+③売上・原価!Z37</f>
        <v>569700</v>
      </c>
      <c r="M9" s="71">
        <f>+③売上・原価!AA37</f>
        <v>569700</v>
      </c>
      <c r="N9" s="71">
        <f>+③売上・原価!AB37</f>
        <v>569700</v>
      </c>
      <c r="O9" s="71">
        <f>+③売上・原価!AC37</f>
        <v>569700</v>
      </c>
      <c r="P9" s="71">
        <f>+③売上・原価!AD37</f>
        <v>569700</v>
      </c>
      <c r="Q9" s="71">
        <f>+③売上・原価!AE37</f>
        <v>569700</v>
      </c>
      <c r="R9" s="71">
        <f>+③売上・原価!AF37</f>
        <v>569700</v>
      </c>
      <c r="S9" s="71">
        <f>+③売上・原価!AG37</f>
        <v>569700</v>
      </c>
      <c r="T9" s="71">
        <f>+③売上・原価!AH37</f>
        <v>569700</v>
      </c>
      <c r="U9" s="71">
        <f>+③売上・原価!AI37</f>
        <v>569700</v>
      </c>
      <c r="V9" s="71">
        <f>+③売上・原価!AJ37</f>
        <v>569700</v>
      </c>
      <c r="W9" s="71">
        <f>+③売上・原価!AK37</f>
        <v>569700</v>
      </c>
    </row>
    <row r="10" spans="1:23" s="64" customFormat="1" ht="18.75" customHeight="1">
      <c r="A10" s="67"/>
      <c r="B10" s="68"/>
      <c r="C10" s="272" t="s">
        <v>210</v>
      </c>
      <c r="D10" s="273"/>
      <c r="E10" s="70"/>
      <c r="F10" s="70"/>
      <c r="G10" s="71">
        <f>+③売上・原価!U48-'⑧資金シミュレーション '!G9</f>
        <v>0</v>
      </c>
      <c r="H10" s="71">
        <f>+③売上・原価!V48-'⑧資金シミュレーション '!H9</f>
        <v>47520</v>
      </c>
      <c r="I10" s="71">
        <f>+③売上・原価!W48-'⑧資金シミュレーション '!I9</f>
        <v>479520</v>
      </c>
      <c r="J10" s="71">
        <f>+③売上・原価!X48-'⑧資金シミュレーション '!J9</f>
        <v>668520</v>
      </c>
      <c r="K10" s="71">
        <f>+③売上・原価!Y48-'⑧資金シミュレーション '!K9</f>
        <v>733320</v>
      </c>
      <c r="L10" s="71">
        <f>+③売上・原価!Z48-'⑧資金シミュレーション '!L9</f>
        <v>752760</v>
      </c>
      <c r="M10" s="71">
        <f>+③売上・原価!AA48-'⑧資金シミュレーション '!M9</f>
        <v>778680</v>
      </c>
      <c r="N10" s="71">
        <f>+③売上・原価!AB48-'⑧資金シミュレーション '!N9</f>
        <v>797580</v>
      </c>
      <c r="O10" s="71">
        <f>+③売上・原価!AC48-'⑧資金シミュレーション '!O9</f>
        <v>816480</v>
      </c>
      <c r="P10" s="71">
        <f>+③売上・原価!AD48-'⑧資金シミュレーション '!P9</f>
        <v>853740</v>
      </c>
      <c r="Q10" s="71">
        <f>+③売上・原価!AE48-'⑧資金シミュレーション '!Q9</f>
        <v>853740</v>
      </c>
      <c r="R10" s="71">
        <f>+③売上・原価!AF48-'⑧資金シミュレーション '!R9</f>
        <v>853740</v>
      </c>
      <c r="S10" s="71">
        <f>+③売上・原価!AG48-'⑧資金シミュレーション '!S9</f>
        <v>853740</v>
      </c>
      <c r="T10" s="71">
        <f>+③売上・原価!AH48-'⑧資金シミュレーション '!T9</f>
        <v>853740</v>
      </c>
      <c r="U10" s="71">
        <f>+③売上・原価!AI48-'⑧資金シミュレーション '!U9</f>
        <v>853740</v>
      </c>
      <c r="V10" s="71">
        <f>+③売上・原価!AJ48-'⑧資金シミュレーション '!V9</f>
        <v>853740</v>
      </c>
      <c r="W10" s="71">
        <f>+③売上・原価!AK48-'⑧資金シミュレーション '!W9</f>
        <v>853740</v>
      </c>
    </row>
    <row r="11" spans="1:23" s="64" customFormat="1" ht="18.75" customHeight="1">
      <c r="A11" s="73"/>
      <c r="B11" s="74"/>
      <c r="C11" s="270" t="s">
        <v>41</v>
      </c>
      <c r="D11" s="271"/>
      <c r="E11" s="70"/>
      <c r="F11" s="70"/>
      <c r="G11" s="71"/>
      <c r="H11" s="72"/>
      <c r="I11" s="72"/>
      <c r="J11" s="72"/>
      <c r="K11" s="72"/>
      <c r="L11" s="71"/>
      <c r="M11" s="72"/>
      <c r="N11" s="72"/>
      <c r="O11" s="72"/>
      <c r="P11" s="72"/>
      <c r="Q11" s="72"/>
      <c r="R11" s="72"/>
      <c r="S11" s="72"/>
      <c r="T11" s="72"/>
      <c r="U11" s="72"/>
      <c r="V11" s="72"/>
      <c r="W11" s="72"/>
    </row>
    <row r="12" spans="1:23" s="64" customFormat="1" ht="18.75" customHeight="1">
      <c r="A12" s="267" t="s">
        <v>142</v>
      </c>
      <c r="B12" s="267"/>
      <c r="C12" s="268"/>
      <c r="D12" s="268"/>
      <c r="E12" s="71">
        <f>E13+E17</f>
        <v>0</v>
      </c>
      <c r="F12" s="71"/>
      <c r="G12" s="71">
        <f>G13+G17</f>
        <v>544800</v>
      </c>
      <c r="H12" s="71">
        <f t="shared" ref="H12:W12" si="4">H13+H17</f>
        <v>677960.33333333326</v>
      </c>
      <c r="I12" s="71">
        <f t="shared" si="4"/>
        <v>710258.66666666674</v>
      </c>
      <c r="J12" s="71">
        <f t="shared" si="4"/>
        <v>730407</v>
      </c>
      <c r="K12" s="71">
        <f t="shared" si="4"/>
        <v>744512</v>
      </c>
      <c r="L12" s="71">
        <f t="shared" si="4"/>
        <v>1036849</v>
      </c>
      <c r="M12" s="71">
        <f t="shared" si="4"/>
        <v>1373937</v>
      </c>
      <c r="N12" s="71">
        <f t="shared" si="4"/>
        <v>1046582</v>
      </c>
      <c r="O12" s="71">
        <f t="shared" si="4"/>
        <v>1047527</v>
      </c>
      <c r="P12" s="71">
        <f t="shared" si="4"/>
        <v>1049390</v>
      </c>
      <c r="Q12" s="71">
        <f t="shared" si="4"/>
        <v>1049390</v>
      </c>
      <c r="R12" s="71">
        <f t="shared" si="4"/>
        <v>1049390</v>
      </c>
      <c r="S12" s="71">
        <f t="shared" si="4"/>
        <v>1049390</v>
      </c>
      <c r="T12" s="71">
        <f t="shared" si="4"/>
        <v>1049390</v>
      </c>
      <c r="U12" s="71">
        <f t="shared" si="4"/>
        <v>1049390</v>
      </c>
      <c r="V12" s="71">
        <f t="shared" si="4"/>
        <v>1049390</v>
      </c>
      <c r="W12" s="71">
        <f t="shared" si="4"/>
        <v>1049390</v>
      </c>
    </row>
    <row r="13" spans="1:23" s="64" customFormat="1" ht="18.75" customHeight="1">
      <c r="A13" s="75"/>
      <c r="B13" s="76" t="s">
        <v>132</v>
      </c>
      <c r="C13" s="77"/>
      <c r="D13" s="108"/>
      <c r="E13" s="66">
        <f>SUM(E14:E16)</f>
        <v>0</v>
      </c>
      <c r="F13" s="66"/>
      <c r="G13" s="66">
        <f>SUM(G14:G16)</f>
        <v>0</v>
      </c>
      <c r="H13" s="66">
        <f t="shared" ref="H13:W13" si="5">SUM(H14:H16)</f>
        <v>128574</v>
      </c>
      <c r="I13" s="66">
        <f t="shared" si="5"/>
        <v>137062</v>
      </c>
      <c r="J13" s="66">
        <f t="shared" si="5"/>
        <v>145550</v>
      </c>
      <c r="K13" s="66">
        <f t="shared" si="5"/>
        <v>154038</v>
      </c>
      <c r="L13" s="66">
        <f t="shared" si="5"/>
        <v>162526</v>
      </c>
      <c r="M13" s="66">
        <f t="shared" si="5"/>
        <v>171018</v>
      </c>
      <c r="N13" s="66">
        <f t="shared" si="5"/>
        <v>171018</v>
      </c>
      <c r="O13" s="66">
        <f t="shared" si="5"/>
        <v>171018</v>
      </c>
      <c r="P13" s="66">
        <f t="shared" si="5"/>
        <v>171018</v>
      </c>
      <c r="Q13" s="66">
        <f t="shared" si="5"/>
        <v>171018</v>
      </c>
      <c r="R13" s="66">
        <f t="shared" si="5"/>
        <v>171018</v>
      </c>
      <c r="S13" s="66">
        <f t="shared" si="5"/>
        <v>171018</v>
      </c>
      <c r="T13" s="66">
        <f t="shared" si="5"/>
        <v>171018</v>
      </c>
      <c r="U13" s="66">
        <f t="shared" si="5"/>
        <v>171018</v>
      </c>
      <c r="V13" s="66">
        <f t="shared" si="5"/>
        <v>171018</v>
      </c>
      <c r="W13" s="66">
        <f t="shared" si="5"/>
        <v>171018</v>
      </c>
    </row>
    <row r="14" spans="1:23" s="64" customFormat="1" ht="18.75" customHeight="1">
      <c r="A14" s="78"/>
      <c r="B14" s="79"/>
      <c r="C14" s="272" t="s">
        <v>211</v>
      </c>
      <c r="D14" s="273"/>
      <c r="E14" s="70"/>
      <c r="F14" s="70"/>
      <c r="G14" s="71">
        <f>+③売上・原価!U57</f>
        <v>0</v>
      </c>
      <c r="H14" s="71">
        <f>+③売上・原価!V57</f>
        <v>0</v>
      </c>
      <c r="I14" s="71">
        <f>+③売上・原価!W57</f>
        <v>0</v>
      </c>
      <c r="J14" s="71">
        <f>+③売上・原価!X57</f>
        <v>0</v>
      </c>
      <c r="K14" s="71">
        <f>+③売上・原価!Y57</f>
        <v>0</v>
      </c>
      <c r="L14" s="71">
        <f>+③売上・原価!Z57</f>
        <v>0</v>
      </c>
      <c r="M14" s="71">
        <f>+③売上・原価!AA57</f>
        <v>0</v>
      </c>
      <c r="N14" s="71">
        <f>+③売上・原価!AB57</f>
        <v>0</v>
      </c>
      <c r="O14" s="71">
        <f>+③売上・原価!AC57</f>
        <v>0</v>
      </c>
      <c r="P14" s="71">
        <f>+③売上・原価!AD57</f>
        <v>0</v>
      </c>
      <c r="Q14" s="71">
        <f>+③売上・原価!AE57</f>
        <v>0</v>
      </c>
      <c r="R14" s="71">
        <f>+③売上・原価!AF57</f>
        <v>0</v>
      </c>
      <c r="S14" s="71">
        <f>+③売上・原価!AG57</f>
        <v>0</v>
      </c>
      <c r="T14" s="71">
        <f>+③売上・原価!AH57</f>
        <v>0</v>
      </c>
      <c r="U14" s="71">
        <f>+③売上・原価!AI57</f>
        <v>0</v>
      </c>
      <c r="V14" s="71">
        <f>+③売上・原価!AJ57</f>
        <v>0</v>
      </c>
      <c r="W14" s="71">
        <f>+③売上・原価!AK57</f>
        <v>0</v>
      </c>
    </row>
    <row r="15" spans="1:23" s="64" customFormat="1" ht="18.75" customHeight="1">
      <c r="A15" s="81"/>
      <c r="B15" s="79"/>
      <c r="C15" s="272" t="s">
        <v>212</v>
      </c>
      <c r="D15" s="273"/>
      <c r="E15" s="70"/>
      <c r="F15" s="70"/>
      <c r="G15" s="71">
        <f>+③売上・原価!U68-'⑧資金シミュレーション '!G14</f>
        <v>0</v>
      </c>
      <c r="H15" s="71">
        <f>+③売上・原価!V68-'⑧資金シミュレーション '!H14</f>
        <v>128574</v>
      </c>
      <c r="I15" s="71">
        <f>+③売上・原価!W68-'⑧資金シミュレーション '!I14</f>
        <v>137062</v>
      </c>
      <c r="J15" s="71">
        <f>+③売上・原価!X68-'⑧資金シミュレーション '!J14</f>
        <v>145550</v>
      </c>
      <c r="K15" s="71">
        <f>+③売上・原価!Y68-'⑧資金シミュレーション '!K14</f>
        <v>154038</v>
      </c>
      <c r="L15" s="71">
        <f>+③売上・原価!Z68-'⑧資金シミュレーション '!L14</f>
        <v>162526</v>
      </c>
      <c r="M15" s="71">
        <f>+③売上・原価!AA68-'⑧資金シミュレーション '!M14</f>
        <v>171018</v>
      </c>
      <c r="N15" s="71">
        <f>+③売上・原価!AB68-'⑧資金シミュレーション '!N14</f>
        <v>171018</v>
      </c>
      <c r="O15" s="71">
        <f>+③売上・原価!AC68-'⑧資金シミュレーション '!O14</f>
        <v>171018</v>
      </c>
      <c r="P15" s="71">
        <f>+③売上・原価!AD68-'⑧資金シミュレーション '!P14</f>
        <v>171018</v>
      </c>
      <c r="Q15" s="71">
        <f>+③売上・原価!AE68-'⑧資金シミュレーション '!Q14</f>
        <v>171018</v>
      </c>
      <c r="R15" s="71">
        <f>+③売上・原価!AF68-'⑧資金シミュレーション '!R14</f>
        <v>171018</v>
      </c>
      <c r="S15" s="71">
        <f>+③売上・原価!AG68-'⑧資金シミュレーション '!S14</f>
        <v>171018</v>
      </c>
      <c r="T15" s="71">
        <f>+③売上・原価!AH68-'⑧資金シミュレーション '!T14</f>
        <v>171018</v>
      </c>
      <c r="U15" s="71">
        <f>+③売上・原価!AI68-'⑧資金シミュレーション '!U14</f>
        <v>171018</v>
      </c>
      <c r="V15" s="71">
        <f>+③売上・原価!AJ68-'⑧資金シミュレーション '!V14</f>
        <v>171018</v>
      </c>
      <c r="W15" s="71">
        <f>+③売上・原価!AK68-'⑧資金シミュレーション '!W14</f>
        <v>171018</v>
      </c>
    </row>
    <row r="16" spans="1:23" s="64" customFormat="1" ht="18.75" customHeight="1">
      <c r="A16" s="75"/>
      <c r="B16" s="69"/>
      <c r="C16" s="270" t="s">
        <v>41</v>
      </c>
      <c r="D16" s="271"/>
      <c r="E16" s="70"/>
      <c r="F16" s="70"/>
      <c r="G16" s="71"/>
      <c r="H16" s="71"/>
      <c r="I16" s="71"/>
      <c r="J16" s="71"/>
      <c r="K16" s="71"/>
      <c r="L16" s="71"/>
      <c r="M16" s="71"/>
      <c r="N16" s="71"/>
      <c r="O16" s="71"/>
      <c r="P16" s="71"/>
      <c r="Q16" s="71"/>
      <c r="R16" s="71"/>
      <c r="S16" s="71"/>
      <c r="T16" s="71"/>
      <c r="U16" s="71"/>
      <c r="V16" s="71"/>
      <c r="W16" s="71"/>
    </row>
    <row r="17" spans="1:23" s="64" customFormat="1" ht="18.75" customHeight="1">
      <c r="A17" s="82"/>
      <c r="B17" s="67" t="s">
        <v>40</v>
      </c>
      <c r="C17" s="73"/>
      <c r="D17" s="109"/>
      <c r="E17" s="66">
        <f>SUM(E18:E27)</f>
        <v>0</v>
      </c>
      <c r="F17" s="66"/>
      <c r="G17" s="66">
        <f>SUM(G18:G27)</f>
        <v>544800</v>
      </c>
      <c r="H17" s="66">
        <f t="shared" ref="H17:W17" si="6">SUM(H18:H27)</f>
        <v>549386.33333333326</v>
      </c>
      <c r="I17" s="66">
        <f t="shared" si="6"/>
        <v>573196.66666666674</v>
      </c>
      <c r="J17" s="66">
        <f t="shared" si="6"/>
        <v>584857</v>
      </c>
      <c r="K17" s="66">
        <f t="shared" si="6"/>
        <v>590474</v>
      </c>
      <c r="L17" s="66">
        <f t="shared" si="6"/>
        <v>874323</v>
      </c>
      <c r="M17" s="66">
        <f>SUM(M18:M27)</f>
        <v>1202919</v>
      </c>
      <c r="N17" s="66">
        <f t="shared" si="6"/>
        <v>875564</v>
      </c>
      <c r="O17" s="66">
        <f t="shared" si="6"/>
        <v>876509</v>
      </c>
      <c r="P17" s="66">
        <f t="shared" si="6"/>
        <v>878372</v>
      </c>
      <c r="Q17" s="66">
        <f t="shared" si="6"/>
        <v>878372</v>
      </c>
      <c r="R17" s="66">
        <f t="shared" si="6"/>
        <v>878372</v>
      </c>
      <c r="S17" s="66">
        <f t="shared" si="6"/>
        <v>878372</v>
      </c>
      <c r="T17" s="66">
        <f t="shared" si="6"/>
        <v>878372</v>
      </c>
      <c r="U17" s="66">
        <f t="shared" si="6"/>
        <v>878372</v>
      </c>
      <c r="V17" s="66">
        <f t="shared" si="6"/>
        <v>878372</v>
      </c>
      <c r="W17" s="66">
        <f t="shared" si="6"/>
        <v>878372</v>
      </c>
    </row>
    <row r="18" spans="1:23" s="64" customFormat="1" ht="18.75" customHeight="1">
      <c r="A18" s="78"/>
      <c r="B18" s="79"/>
      <c r="C18" s="80" t="s">
        <v>31</v>
      </c>
      <c r="D18" s="110"/>
      <c r="E18" s="83"/>
      <c r="F18" s="83"/>
      <c r="G18" s="71">
        <f>+⑦損益シミュレーション!E12</f>
        <v>280000</v>
      </c>
      <c r="H18" s="71">
        <f>+⑦損益シミュレーション!F12</f>
        <v>280000</v>
      </c>
      <c r="I18" s="71">
        <f>+⑦損益シミュレーション!G12</f>
        <v>280000</v>
      </c>
      <c r="J18" s="71">
        <f>+⑦損益シミュレーション!H12</f>
        <v>280000</v>
      </c>
      <c r="K18" s="71">
        <f>+⑦損益シミュレーション!I12</f>
        <v>280000</v>
      </c>
      <c r="L18" s="71">
        <f>+⑦損益シミュレーション!J12</f>
        <v>560000</v>
      </c>
      <c r="M18" s="71">
        <f>+⑦損益シミュレーション!K12</f>
        <v>560000</v>
      </c>
      <c r="N18" s="71">
        <f>+⑦損益シミュレーション!L12</f>
        <v>560000</v>
      </c>
      <c r="O18" s="71">
        <f>+⑦損益シミュレーション!M12</f>
        <v>560000</v>
      </c>
      <c r="P18" s="71">
        <f>+⑦損益シミュレーション!N12</f>
        <v>560000</v>
      </c>
      <c r="Q18" s="71">
        <f>+⑦損益シミュレーション!O12</f>
        <v>560000</v>
      </c>
      <c r="R18" s="71">
        <f>+⑦損益シミュレーション!P12</f>
        <v>560000</v>
      </c>
      <c r="S18" s="71">
        <f>+⑦損益シミュレーション!Q12</f>
        <v>560000</v>
      </c>
      <c r="T18" s="71">
        <f>+⑦損益シミュレーション!R12</f>
        <v>560000</v>
      </c>
      <c r="U18" s="71">
        <f>+⑦損益シミュレーション!S12</f>
        <v>560000</v>
      </c>
      <c r="V18" s="71">
        <f>+⑦損益シミュレーション!T12</f>
        <v>560000</v>
      </c>
      <c r="W18" s="71">
        <f>+⑦損益シミュレーション!U12</f>
        <v>560000</v>
      </c>
    </row>
    <row r="19" spans="1:23" s="64" customFormat="1" ht="18.75" customHeight="1">
      <c r="A19" s="81"/>
      <c r="B19" s="79"/>
      <c r="C19" s="80" t="s">
        <v>30</v>
      </c>
      <c r="D19" s="110"/>
      <c r="E19" s="83"/>
      <c r="F19" s="83"/>
      <c r="G19" s="71">
        <f>+⑦損益シミュレーション!E13</f>
        <v>97200</v>
      </c>
      <c r="H19" s="71">
        <f>+⑦損益シミュレーション!F13</f>
        <v>97200</v>
      </c>
      <c r="I19" s="71">
        <f>+⑦損益シミュレーション!G13</f>
        <v>97200</v>
      </c>
      <c r="J19" s="71">
        <f>+⑦損益シミュレーション!H13</f>
        <v>97200</v>
      </c>
      <c r="K19" s="71">
        <f>+⑦損益シミュレーション!I13</f>
        <v>97200</v>
      </c>
      <c r="L19" s="71">
        <f>+⑦損益シミュレーション!J13</f>
        <v>97200</v>
      </c>
      <c r="M19" s="71">
        <f>+⑦損益シミュレーション!K13</f>
        <v>97200</v>
      </c>
      <c r="N19" s="71">
        <f>+⑦損益シミュレーション!L13</f>
        <v>97200</v>
      </c>
      <c r="O19" s="71">
        <f>+⑦損益シミュレーション!M13</f>
        <v>97200</v>
      </c>
      <c r="P19" s="71">
        <f>+⑦損益シミュレーション!N13</f>
        <v>97200</v>
      </c>
      <c r="Q19" s="71">
        <f>+⑦損益シミュレーション!O13</f>
        <v>97200</v>
      </c>
      <c r="R19" s="71">
        <f>+⑦損益シミュレーション!P13</f>
        <v>97200</v>
      </c>
      <c r="S19" s="71">
        <f>+⑦損益シミュレーション!Q13</f>
        <v>97200</v>
      </c>
      <c r="T19" s="71">
        <f>+⑦損益シミュレーション!R13</f>
        <v>97200</v>
      </c>
      <c r="U19" s="71">
        <f>+⑦損益シミュレーション!S13</f>
        <v>97200</v>
      </c>
      <c r="V19" s="71">
        <f>+⑦損益シミュレーション!T13</f>
        <v>97200</v>
      </c>
      <c r="W19" s="71">
        <f>+⑦損益シミュレーション!U13</f>
        <v>97200</v>
      </c>
    </row>
    <row r="20" spans="1:23" s="64" customFormat="1" ht="18.75" customHeight="1">
      <c r="A20" s="78"/>
      <c r="B20" s="79"/>
      <c r="C20" s="80" t="s">
        <v>29</v>
      </c>
      <c r="D20" s="110"/>
      <c r="E20" s="83"/>
      <c r="F20" s="83"/>
      <c r="G20" s="71">
        <f>+⑦損益シミュレーション!E14</f>
        <v>9000</v>
      </c>
      <c r="H20" s="71">
        <f>+⑦損益シミュレーション!F14</f>
        <v>9000</v>
      </c>
      <c r="I20" s="71">
        <f>+⑦損益シミュレーション!G14</f>
        <v>9000</v>
      </c>
      <c r="J20" s="71">
        <f>+⑦損益シミュレーション!H14</f>
        <v>9000</v>
      </c>
      <c r="K20" s="71">
        <f>+⑦損益シミュレーション!I14</f>
        <v>9000</v>
      </c>
      <c r="L20" s="71">
        <f>+⑦損益シミュレーション!J14</f>
        <v>9000</v>
      </c>
      <c r="M20" s="71">
        <f>+⑦損益シミュレーション!K14</f>
        <v>8000</v>
      </c>
      <c r="N20" s="71">
        <f>+⑦損益シミュレーション!L14</f>
        <v>8000</v>
      </c>
      <c r="O20" s="71">
        <f>+⑦損益シミュレーション!M14</f>
        <v>8000</v>
      </c>
      <c r="P20" s="71">
        <f>+⑦損益シミュレーション!N14</f>
        <v>8000</v>
      </c>
      <c r="Q20" s="71">
        <f>+⑦損益シミュレーション!O14</f>
        <v>8000</v>
      </c>
      <c r="R20" s="71">
        <f>+⑦損益シミュレーション!P14</f>
        <v>8000</v>
      </c>
      <c r="S20" s="71">
        <f>+⑦損益シミュレーション!Q14</f>
        <v>8000</v>
      </c>
      <c r="T20" s="71">
        <f>+⑦損益シミュレーション!R14</f>
        <v>8000</v>
      </c>
      <c r="U20" s="71">
        <f>+⑦損益シミュレーション!S14</f>
        <v>8000</v>
      </c>
      <c r="V20" s="71">
        <f>+⑦損益シミュレーション!T14</f>
        <v>8000</v>
      </c>
      <c r="W20" s="71">
        <f>+⑦損益シミュレーション!U14</f>
        <v>8000</v>
      </c>
    </row>
    <row r="21" spans="1:23" s="64" customFormat="1" ht="18.75" customHeight="1">
      <c r="A21" s="84"/>
      <c r="B21" s="79"/>
      <c r="C21" s="80" t="s">
        <v>28</v>
      </c>
      <c r="D21" s="110"/>
      <c r="E21" s="83"/>
      <c r="F21" s="83"/>
      <c r="G21" s="71">
        <f>+⑦損益シミュレーション!E15</f>
        <v>7000</v>
      </c>
      <c r="H21" s="71">
        <f>+⑦損益シミュレーション!F15</f>
        <v>7000</v>
      </c>
      <c r="I21" s="71">
        <f>+⑦損益シミュレーション!G15</f>
        <v>7000</v>
      </c>
      <c r="J21" s="71">
        <f>+⑦損益シミュレーション!H15</f>
        <v>7000</v>
      </c>
      <c r="K21" s="71">
        <f>+⑦損益シミュレーション!I15</f>
        <v>7000</v>
      </c>
      <c r="L21" s="71">
        <f>+⑦損益シミュレーション!J15</f>
        <v>7000</v>
      </c>
      <c r="M21" s="71">
        <f>+⑦損益シミュレーション!K15</f>
        <v>7000</v>
      </c>
      <c r="N21" s="71">
        <f>+⑦損益シミュレーション!L15</f>
        <v>7000</v>
      </c>
      <c r="O21" s="71">
        <f>+⑦損益シミュレーション!M15</f>
        <v>7000</v>
      </c>
      <c r="P21" s="71">
        <f>+⑦損益シミュレーション!N15</f>
        <v>7000</v>
      </c>
      <c r="Q21" s="71">
        <f>+⑦損益シミュレーション!O15</f>
        <v>7000</v>
      </c>
      <c r="R21" s="71">
        <f>+⑦損益シミュレーション!P15</f>
        <v>7000</v>
      </c>
      <c r="S21" s="71">
        <f>+⑦損益シミュレーション!Q15</f>
        <v>7000</v>
      </c>
      <c r="T21" s="71">
        <f>+⑦損益シミュレーション!R15</f>
        <v>7000</v>
      </c>
      <c r="U21" s="71">
        <f>+⑦損益シミュレーション!S15</f>
        <v>7000</v>
      </c>
      <c r="V21" s="71">
        <f>+⑦損益シミュレーション!T15</f>
        <v>7000</v>
      </c>
      <c r="W21" s="71">
        <f>+⑦損益シミュレーション!U15</f>
        <v>7000</v>
      </c>
    </row>
    <row r="22" spans="1:23" s="64" customFormat="1" ht="18.75" customHeight="1">
      <c r="A22" s="81"/>
      <c r="B22" s="79"/>
      <c r="C22" s="80" t="s">
        <v>27</v>
      </c>
      <c r="D22" s="110"/>
      <c r="E22" s="83"/>
      <c r="F22" s="83"/>
      <c r="G22" s="71">
        <f>+⑦損益シミュレーション!E16</f>
        <v>21600</v>
      </c>
      <c r="H22" s="71">
        <f>+⑦損益シミュレーション!F16</f>
        <v>25353</v>
      </c>
      <c r="I22" s="71">
        <f>+⑦損益シミュレーション!G16</f>
        <v>48330</v>
      </c>
      <c r="J22" s="71">
        <f>+⑦損益シミュレーション!H16</f>
        <v>59157</v>
      </c>
      <c r="K22" s="71">
        <f>+⑦損益シミュレーション!I16</f>
        <v>63774</v>
      </c>
      <c r="L22" s="71">
        <f>+⑦損益シミュレーション!J16</f>
        <v>66123</v>
      </c>
      <c r="M22" s="71">
        <f>+⑦損益シミュレーション!K16</f>
        <v>67419</v>
      </c>
      <c r="N22" s="71">
        <f>+⑦損益シミュレーション!L16</f>
        <v>68364</v>
      </c>
      <c r="O22" s="71">
        <f>+⑦損益シミュレーション!M16</f>
        <v>69309</v>
      </c>
      <c r="P22" s="71">
        <f>+⑦損益シミュレーション!N16</f>
        <v>71172</v>
      </c>
      <c r="Q22" s="71">
        <f>+⑦損益シミュレーション!O16</f>
        <v>71172</v>
      </c>
      <c r="R22" s="71">
        <f>+⑦損益シミュレーション!P16</f>
        <v>71172</v>
      </c>
      <c r="S22" s="71">
        <f>+⑦損益シミュレーション!Q16</f>
        <v>71172</v>
      </c>
      <c r="T22" s="71">
        <f>+⑦損益シミュレーション!R16</f>
        <v>71172</v>
      </c>
      <c r="U22" s="71">
        <f>+⑦損益シミュレーション!S16</f>
        <v>71172</v>
      </c>
      <c r="V22" s="71">
        <f>+⑦損益シミュレーション!T16</f>
        <v>71172</v>
      </c>
      <c r="W22" s="71">
        <f>+⑦損益シミュレーション!U16</f>
        <v>71172</v>
      </c>
    </row>
    <row r="23" spans="1:23" s="64" customFormat="1" ht="18.75" customHeight="1">
      <c r="A23" s="81"/>
      <c r="B23" s="79"/>
      <c r="C23" s="80" t="s">
        <v>26</v>
      </c>
      <c r="D23" s="110"/>
      <c r="E23" s="83"/>
      <c r="F23" s="83"/>
      <c r="G23" s="71">
        <f>+⑦損益シミュレーション!E17</f>
        <v>10000</v>
      </c>
      <c r="H23" s="71">
        <f>+⑦損益シミュレーション!F17</f>
        <v>10000</v>
      </c>
      <c r="I23" s="71">
        <f>+⑦損益シミュレーション!G17</f>
        <v>10000</v>
      </c>
      <c r="J23" s="71">
        <f>+⑦損益シミュレーション!H17</f>
        <v>10000</v>
      </c>
      <c r="K23" s="71">
        <f>+⑦損益シミュレーション!I17</f>
        <v>10000</v>
      </c>
      <c r="L23" s="71">
        <f>+⑦損益シミュレーション!J17</f>
        <v>10000</v>
      </c>
      <c r="M23" s="71">
        <f>+⑦損益シミュレーション!K17</f>
        <v>10000</v>
      </c>
      <c r="N23" s="71">
        <f>+⑦損益シミュレーション!L17</f>
        <v>10000</v>
      </c>
      <c r="O23" s="71">
        <f>+⑦損益シミュレーション!M17</f>
        <v>10000</v>
      </c>
      <c r="P23" s="71">
        <f>+⑦損益シミュレーション!N17</f>
        <v>10000</v>
      </c>
      <c r="Q23" s="71">
        <f>+⑦損益シミュレーション!O17</f>
        <v>10000</v>
      </c>
      <c r="R23" s="71">
        <f>+⑦損益シミュレーション!P17</f>
        <v>10000</v>
      </c>
      <c r="S23" s="71">
        <f>+⑦損益シミュレーション!Q17</f>
        <v>10000</v>
      </c>
      <c r="T23" s="71">
        <f>+⑦損益シミュレーション!R17</f>
        <v>10000</v>
      </c>
      <c r="U23" s="71">
        <f>+⑦損益シミュレーション!S17</f>
        <v>10000</v>
      </c>
      <c r="V23" s="71">
        <f>+⑦損益シミュレーション!T17</f>
        <v>10000</v>
      </c>
      <c r="W23" s="71">
        <f>+⑦損益シミュレーション!U17</f>
        <v>10000</v>
      </c>
    </row>
    <row r="24" spans="1:23" s="64" customFormat="1" ht="18.75" customHeight="1">
      <c r="A24" s="78"/>
      <c r="B24" s="79"/>
      <c r="C24" s="80" t="s">
        <v>25</v>
      </c>
      <c r="D24" s="110"/>
      <c r="E24" s="83"/>
      <c r="F24" s="83"/>
      <c r="G24" s="71">
        <f>+⑦損益シミュレーション!E18</f>
        <v>20000</v>
      </c>
      <c r="H24" s="71">
        <f>+⑦損益シミュレーション!F18</f>
        <v>20000</v>
      </c>
      <c r="I24" s="71">
        <f>+⑦損益シミュレーション!G18</f>
        <v>20000</v>
      </c>
      <c r="J24" s="71">
        <f>+⑦損益シミュレーション!H18</f>
        <v>20000</v>
      </c>
      <c r="K24" s="71">
        <f>+⑦損益シミュレーション!I18</f>
        <v>20000</v>
      </c>
      <c r="L24" s="71">
        <f>+⑦損益シミュレーション!J18</f>
        <v>20000</v>
      </c>
      <c r="M24" s="71">
        <f>+⑦損益シミュレーション!K18</f>
        <v>20000</v>
      </c>
      <c r="N24" s="71">
        <f>+⑦損益シミュレーション!L18</f>
        <v>20000</v>
      </c>
      <c r="O24" s="71">
        <f>+⑦損益シミュレーション!M18</f>
        <v>20000</v>
      </c>
      <c r="P24" s="71">
        <f>+⑦損益シミュレーション!N18</f>
        <v>20000</v>
      </c>
      <c r="Q24" s="71">
        <f>+⑦損益シミュレーション!O18</f>
        <v>20000</v>
      </c>
      <c r="R24" s="71">
        <f>+⑦損益シミュレーション!P18</f>
        <v>20000</v>
      </c>
      <c r="S24" s="71">
        <f>+⑦損益シミュレーション!Q18</f>
        <v>20000</v>
      </c>
      <c r="T24" s="71">
        <f>+⑦損益シミュレーション!R18</f>
        <v>20000</v>
      </c>
      <c r="U24" s="71">
        <f>+⑦損益シミュレーション!S18</f>
        <v>20000</v>
      </c>
      <c r="V24" s="71">
        <f>+⑦損益シミュレーション!T18</f>
        <v>20000</v>
      </c>
      <c r="W24" s="71">
        <f>+⑦損益シミュレーション!U18</f>
        <v>20000</v>
      </c>
    </row>
    <row r="25" spans="1:23" s="64" customFormat="1" ht="18.75" customHeight="1">
      <c r="A25" s="85"/>
      <c r="B25" s="79"/>
      <c r="C25" s="80" t="s">
        <v>24</v>
      </c>
      <c r="D25" s="110"/>
      <c r="E25" s="83"/>
      <c r="F25" s="83"/>
      <c r="G25" s="71">
        <f>+⑦損益シミュレーション!E19</f>
        <v>50000</v>
      </c>
      <c r="H25" s="71">
        <f>+⑦損益シミュレーション!F19</f>
        <v>50833.333333333336</v>
      </c>
      <c r="I25" s="71">
        <f>+⑦損益シミュレーション!G19</f>
        <v>51666.666666666672</v>
      </c>
      <c r="J25" s="71">
        <f>+⑦損益シミュレーション!H19</f>
        <v>52500.000000000007</v>
      </c>
      <c r="K25" s="71">
        <f>+⑦損益シミュレーション!I19</f>
        <v>53500.000000000007</v>
      </c>
      <c r="L25" s="71">
        <f>+⑦損益シミュレーション!J19</f>
        <v>55000</v>
      </c>
      <c r="M25" s="71">
        <f>+⑦損益シミュレーション!K19</f>
        <v>55000</v>
      </c>
      <c r="N25" s="71">
        <f>+⑦損益シミュレーション!L19</f>
        <v>55000</v>
      </c>
      <c r="O25" s="71">
        <f>+⑦損益シミュレーション!M19</f>
        <v>55000</v>
      </c>
      <c r="P25" s="71">
        <f>+⑦損益シミュレーション!N19</f>
        <v>55000</v>
      </c>
      <c r="Q25" s="71">
        <f>+⑦損益シミュレーション!O19</f>
        <v>55000</v>
      </c>
      <c r="R25" s="71">
        <f>+⑦損益シミュレーション!P19</f>
        <v>55000</v>
      </c>
      <c r="S25" s="71">
        <f>+⑦損益シミュレーション!Q19</f>
        <v>55000</v>
      </c>
      <c r="T25" s="71">
        <f>+⑦損益シミュレーション!R19</f>
        <v>55000</v>
      </c>
      <c r="U25" s="71">
        <f>+⑦損益シミュレーション!S19</f>
        <v>55000</v>
      </c>
      <c r="V25" s="71">
        <f>+⑦損益シミュレーション!T19</f>
        <v>55000</v>
      </c>
      <c r="W25" s="71">
        <f>+⑦損益シミュレーション!U19</f>
        <v>55000</v>
      </c>
    </row>
    <row r="26" spans="1:23" s="64" customFormat="1" ht="18.75" customHeight="1">
      <c r="A26" s="81"/>
      <c r="B26" s="79"/>
      <c r="C26" s="80" t="s">
        <v>41</v>
      </c>
      <c r="D26" s="110"/>
      <c r="E26" s="86"/>
      <c r="F26" s="86"/>
      <c r="G26" s="72">
        <f>+⑦損益シミュレーション!E20</f>
        <v>50000</v>
      </c>
      <c r="H26" s="72">
        <f>+⑦損益シミュレーション!F20</f>
        <v>50000</v>
      </c>
      <c r="I26" s="72">
        <f>+⑦損益シミュレーション!G20</f>
        <v>50000</v>
      </c>
      <c r="J26" s="72">
        <f>+⑦損益シミュレーション!H20</f>
        <v>50000</v>
      </c>
      <c r="K26" s="72">
        <f>+⑦損益シミュレーション!I20</f>
        <v>50000</v>
      </c>
      <c r="L26" s="72">
        <f>+⑦損益シミュレーション!J20</f>
        <v>50000</v>
      </c>
      <c r="M26" s="72">
        <f>+⑦損益シミュレーション!K20</f>
        <v>50000</v>
      </c>
      <c r="N26" s="72">
        <f>+⑦損益シミュレーション!L20</f>
        <v>50000</v>
      </c>
      <c r="O26" s="72">
        <f>+⑦損益シミュレーション!M20</f>
        <v>50000</v>
      </c>
      <c r="P26" s="72">
        <f>+⑦損益シミュレーション!N20</f>
        <v>50000</v>
      </c>
      <c r="Q26" s="72">
        <f>+⑦損益シミュレーション!O20</f>
        <v>50000</v>
      </c>
      <c r="R26" s="72">
        <f>+⑦損益シミュレーション!P20</f>
        <v>50000</v>
      </c>
      <c r="S26" s="72">
        <f>+⑦損益シミュレーション!Q20</f>
        <v>50000</v>
      </c>
      <c r="T26" s="72">
        <f>+⑦損益シミュレーション!R20</f>
        <v>50000</v>
      </c>
      <c r="U26" s="72">
        <f>+⑦損益シミュレーション!S20</f>
        <v>50000</v>
      </c>
      <c r="V26" s="72">
        <f>+⑦損益シミュレーション!T20</f>
        <v>50000</v>
      </c>
      <c r="W26" s="72">
        <f>+⑦損益シミュレーション!U20</f>
        <v>50000</v>
      </c>
    </row>
    <row r="27" spans="1:23" s="64" customFormat="1" ht="18.75" customHeight="1">
      <c r="A27" s="87"/>
      <c r="B27" s="88"/>
      <c r="C27" s="144" t="s">
        <v>137</v>
      </c>
      <c r="D27" s="110"/>
      <c r="E27" s="86"/>
      <c r="F27" s="86"/>
      <c r="G27" s="72"/>
      <c r="H27" s="72"/>
      <c r="I27" s="72"/>
      <c r="J27" s="72"/>
      <c r="K27" s="72"/>
      <c r="L27" s="72"/>
      <c r="M27" s="72">
        <f>ROUNDDOWN(SUM($G28:K28)*34.33%,-2)</f>
        <v>328300</v>
      </c>
      <c r="N27" s="72"/>
      <c r="O27" s="72"/>
      <c r="P27" s="72"/>
      <c r="Q27" s="72"/>
      <c r="R27" s="72"/>
      <c r="S27" s="72"/>
      <c r="T27" s="72"/>
      <c r="U27" s="72"/>
      <c r="V27" s="72"/>
      <c r="W27" s="89"/>
    </row>
    <row r="28" spans="1:23" ht="21" customHeight="1">
      <c r="A28" s="266" t="s">
        <v>131</v>
      </c>
      <c r="B28" s="266"/>
      <c r="C28" s="266"/>
      <c r="D28" s="266"/>
      <c r="E28" s="181">
        <f t="shared" ref="E28:W28" si="7">+E8-E12</f>
        <v>0</v>
      </c>
      <c r="F28" s="181"/>
      <c r="G28" s="181">
        <f t="shared" si="7"/>
        <v>-112800</v>
      </c>
      <c r="H28" s="181">
        <f t="shared" si="7"/>
        <v>-170900.33333333326</v>
      </c>
      <c r="I28" s="181">
        <f t="shared" si="7"/>
        <v>256341.33333333326</v>
      </c>
      <c r="J28" s="181">
        <f t="shared" si="7"/>
        <v>452733</v>
      </c>
      <c r="K28" s="181">
        <f t="shared" si="7"/>
        <v>530968</v>
      </c>
      <c r="L28" s="181">
        <f t="shared" si="7"/>
        <v>285611</v>
      </c>
      <c r="M28" s="181">
        <f t="shared" si="7"/>
        <v>-25557</v>
      </c>
      <c r="N28" s="181">
        <f t="shared" si="7"/>
        <v>320698</v>
      </c>
      <c r="O28" s="181">
        <f t="shared" si="7"/>
        <v>338653</v>
      </c>
      <c r="P28" s="181">
        <f t="shared" si="7"/>
        <v>374050</v>
      </c>
      <c r="Q28" s="181">
        <f t="shared" si="7"/>
        <v>374050</v>
      </c>
      <c r="R28" s="181">
        <f t="shared" si="7"/>
        <v>374050</v>
      </c>
      <c r="S28" s="181">
        <f t="shared" si="7"/>
        <v>374050</v>
      </c>
      <c r="T28" s="181">
        <f t="shared" si="7"/>
        <v>374050</v>
      </c>
      <c r="U28" s="181">
        <f t="shared" si="7"/>
        <v>374050</v>
      </c>
      <c r="V28" s="181">
        <f t="shared" si="7"/>
        <v>374050</v>
      </c>
      <c r="W28" s="181">
        <f t="shared" si="7"/>
        <v>374050</v>
      </c>
    </row>
    <row r="29" spans="1:23" s="90" customFormat="1" ht="18.75" customHeight="1">
      <c r="A29" s="91"/>
      <c r="B29" s="91"/>
      <c r="C29" s="91"/>
      <c r="D29" s="91"/>
      <c r="E29" s="92"/>
      <c r="F29" s="92"/>
      <c r="G29" s="92"/>
      <c r="H29" s="92"/>
      <c r="I29" s="92"/>
      <c r="J29" s="92"/>
      <c r="K29" s="92"/>
      <c r="L29" s="92"/>
      <c r="M29" s="92"/>
      <c r="N29" s="92"/>
      <c r="O29" s="92"/>
      <c r="P29" s="92"/>
      <c r="Q29" s="92"/>
      <c r="R29" s="92"/>
      <c r="S29" s="92"/>
      <c r="T29" s="92"/>
      <c r="U29" s="92"/>
      <c r="V29" s="92"/>
      <c r="W29" s="92"/>
    </row>
    <row r="30" spans="1:23" ht="18.75" customHeight="1">
      <c r="G30" s="93"/>
      <c r="H30" s="93"/>
      <c r="I30" s="93"/>
      <c r="J30" s="93"/>
      <c r="K30" s="93"/>
      <c r="L30" s="93"/>
    </row>
    <row r="31" spans="1:23" ht="18.75" customHeight="1">
      <c r="G31" s="93"/>
      <c r="H31" s="93"/>
      <c r="I31" s="93"/>
      <c r="J31" s="93"/>
      <c r="K31" s="93"/>
      <c r="L31" s="93"/>
    </row>
    <row r="32" spans="1:23" ht="18.75" customHeight="1">
      <c r="G32" s="93"/>
      <c r="H32" s="93"/>
      <c r="I32" s="93"/>
      <c r="J32" s="93"/>
      <c r="K32" s="93"/>
      <c r="L32" s="93"/>
    </row>
    <row r="33" spans="1:23" s="64" customFormat="1" ht="18.75" customHeight="1">
      <c r="D33" s="106" t="s">
        <v>37</v>
      </c>
      <c r="E33" s="65">
        <f>+E5</f>
        <v>2016</v>
      </c>
      <c r="F33" s="65"/>
      <c r="G33" s="65">
        <f t="shared" ref="G33:W33" si="8">+G5</f>
        <v>2016</v>
      </c>
      <c r="H33" s="65">
        <f t="shared" si="8"/>
        <v>2016</v>
      </c>
      <c r="I33" s="65">
        <f t="shared" si="8"/>
        <v>2016</v>
      </c>
      <c r="J33" s="65">
        <f t="shared" si="8"/>
        <v>2016</v>
      </c>
      <c r="K33" s="65">
        <f t="shared" si="8"/>
        <v>2016</v>
      </c>
      <c r="L33" s="65">
        <f t="shared" si="8"/>
        <v>2016</v>
      </c>
      <c r="M33" s="65">
        <f t="shared" si="8"/>
        <v>2016</v>
      </c>
      <c r="N33" s="65">
        <f t="shared" si="8"/>
        <v>2016</v>
      </c>
      <c r="O33" s="65">
        <f t="shared" si="8"/>
        <v>2016</v>
      </c>
      <c r="P33" s="65">
        <f t="shared" si="8"/>
        <v>2017</v>
      </c>
      <c r="Q33" s="65">
        <f t="shared" si="8"/>
        <v>2017</v>
      </c>
      <c r="R33" s="65">
        <f t="shared" si="8"/>
        <v>2017</v>
      </c>
      <c r="S33" s="65">
        <f t="shared" si="8"/>
        <v>2017</v>
      </c>
      <c r="T33" s="65">
        <f t="shared" si="8"/>
        <v>2017</v>
      </c>
      <c r="U33" s="65">
        <f t="shared" si="8"/>
        <v>2017</v>
      </c>
      <c r="V33" s="65">
        <f t="shared" si="8"/>
        <v>2017</v>
      </c>
      <c r="W33" s="65">
        <f t="shared" si="8"/>
        <v>2017</v>
      </c>
    </row>
    <row r="34" spans="1:23" s="64" customFormat="1" ht="18.75" customHeight="1">
      <c r="D34" s="107" t="s">
        <v>36</v>
      </c>
      <c r="E34" s="65">
        <f>+E6</f>
        <v>3</v>
      </c>
      <c r="F34" s="65"/>
      <c r="G34" s="65">
        <f t="shared" ref="G34:W34" si="9">+G6</f>
        <v>4</v>
      </c>
      <c r="H34" s="65">
        <f t="shared" si="9"/>
        <v>5</v>
      </c>
      <c r="I34" s="65">
        <f t="shared" si="9"/>
        <v>6</v>
      </c>
      <c r="J34" s="65">
        <f t="shared" si="9"/>
        <v>7</v>
      </c>
      <c r="K34" s="65">
        <f t="shared" si="9"/>
        <v>8</v>
      </c>
      <c r="L34" s="65">
        <f t="shared" si="9"/>
        <v>9</v>
      </c>
      <c r="M34" s="65">
        <f t="shared" si="9"/>
        <v>10</v>
      </c>
      <c r="N34" s="65">
        <f t="shared" si="9"/>
        <v>11</v>
      </c>
      <c r="O34" s="65">
        <f t="shared" si="9"/>
        <v>12</v>
      </c>
      <c r="P34" s="65">
        <f t="shared" si="9"/>
        <v>1</v>
      </c>
      <c r="Q34" s="65">
        <f t="shared" si="9"/>
        <v>2</v>
      </c>
      <c r="R34" s="65">
        <f t="shared" si="9"/>
        <v>3</v>
      </c>
      <c r="S34" s="65">
        <f t="shared" si="9"/>
        <v>4</v>
      </c>
      <c r="T34" s="65">
        <f t="shared" si="9"/>
        <v>5</v>
      </c>
      <c r="U34" s="65">
        <f t="shared" si="9"/>
        <v>6</v>
      </c>
      <c r="V34" s="65">
        <f t="shared" si="9"/>
        <v>7</v>
      </c>
      <c r="W34" s="65">
        <f t="shared" si="9"/>
        <v>8</v>
      </c>
    </row>
    <row r="35" spans="1:23" ht="21" customHeight="1">
      <c r="A35" s="182" t="s">
        <v>133</v>
      </c>
      <c r="B35" s="183"/>
      <c r="C35" s="183"/>
      <c r="D35" s="183"/>
      <c r="E35" s="184">
        <v>2500000</v>
      </c>
      <c r="F35" s="184"/>
      <c r="G35" s="185">
        <f>+E45</f>
        <v>100000</v>
      </c>
      <c r="H35" s="185">
        <f>+G45</f>
        <v>-112800</v>
      </c>
      <c r="I35" s="185">
        <f t="shared" ref="I35:W35" si="10">+H45</f>
        <v>-383700.33333333326</v>
      </c>
      <c r="J35" s="185">
        <f t="shared" si="10"/>
        <v>-227359</v>
      </c>
      <c r="K35" s="186">
        <f t="shared" si="10"/>
        <v>125374</v>
      </c>
      <c r="L35" s="186">
        <f t="shared" si="10"/>
        <v>556342</v>
      </c>
      <c r="M35" s="186">
        <f t="shared" si="10"/>
        <v>741953</v>
      </c>
      <c r="N35" s="186">
        <f t="shared" si="10"/>
        <v>616396</v>
      </c>
      <c r="O35" s="186">
        <f t="shared" si="10"/>
        <v>837094</v>
      </c>
      <c r="P35" s="186">
        <f t="shared" si="10"/>
        <v>1075747</v>
      </c>
      <c r="Q35" s="186">
        <f t="shared" si="10"/>
        <v>1349797</v>
      </c>
      <c r="R35" s="186">
        <f t="shared" si="10"/>
        <v>1623847</v>
      </c>
      <c r="S35" s="186">
        <f t="shared" si="10"/>
        <v>1897897</v>
      </c>
      <c r="T35" s="186">
        <f t="shared" si="10"/>
        <v>2171947</v>
      </c>
      <c r="U35" s="186">
        <f t="shared" si="10"/>
        <v>2445997</v>
      </c>
      <c r="V35" s="186">
        <f t="shared" si="10"/>
        <v>2720047</v>
      </c>
      <c r="W35" s="186">
        <f t="shared" si="10"/>
        <v>2994097</v>
      </c>
    </row>
    <row r="36" spans="1:23" s="64" customFormat="1" ht="18.75" customHeight="1">
      <c r="A36" s="94"/>
      <c r="B36" s="95" t="s">
        <v>130</v>
      </c>
      <c r="C36" s="72"/>
      <c r="D36" s="96"/>
      <c r="E36" s="97">
        <f t="shared" ref="E36" si="11">SUM(E37:E39)</f>
        <v>7000000</v>
      </c>
      <c r="F36" s="97"/>
      <c r="G36" s="97">
        <f t="shared" ref="G36" si="12">SUM(G37:G39)</f>
        <v>432000</v>
      </c>
      <c r="H36" s="97">
        <f t="shared" ref="H36:W36" si="13">SUM(H37:H39)</f>
        <v>507060</v>
      </c>
      <c r="I36" s="97">
        <f t="shared" si="13"/>
        <v>966600</v>
      </c>
      <c r="J36" s="97">
        <f t="shared" si="13"/>
        <v>1183140</v>
      </c>
      <c r="K36" s="98">
        <f t="shared" si="13"/>
        <v>1275480</v>
      </c>
      <c r="L36" s="98">
        <f t="shared" si="13"/>
        <v>1322460</v>
      </c>
      <c r="M36" s="98">
        <f t="shared" si="13"/>
        <v>1348380</v>
      </c>
      <c r="N36" s="98">
        <f t="shared" si="13"/>
        <v>1367280</v>
      </c>
      <c r="O36" s="98">
        <f t="shared" si="13"/>
        <v>1386180</v>
      </c>
      <c r="P36" s="98">
        <f t="shared" si="13"/>
        <v>1423440</v>
      </c>
      <c r="Q36" s="98">
        <f t="shared" si="13"/>
        <v>1423440</v>
      </c>
      <c r="R36" s="98">
        <f t="shared" si="13"/>
        <v>1423440</v>
      </c>
      <c r="S36" s="98">
        <f t="shared" si="13"/>
        <v>1423440</v>
      </c>
      <c r="T36" s="98">
        <f t="shared" si="13"/>
        <v>1423440</v>
      </c>
      <c r="U36" s="98">
        <f t="shared" si="13"/>
        <v>1423440</v>
      </c>
      <c r="V36" s="98">
        <f t="shared" si="13"/>
        <v>1423440</v>
      </c>
      <c r="W36" s="98">
        <f t="shared" si="13"/>
        <v>1423440</v>
      </c>
    </row>
    <row r="37" spans="1:23" s="64" customFormat="1" ht="18.75" customHeight="1">
      <c r="A37" s="99"/>
      <c r="B37" s="99"/>
      <c r="C37" s="145" t="s">
        <v>134</v>
      </c>
      <c r="D37" s="101"/>
      <c r="E37" s="102">
        <v>7000000</v>
      </c>
      <c r="F37" s="102"/>
      <c r="G37" s="102"/>
      <c r="H37" s="102"/>
      <c r="I37" s="102"/>
      <c r="J37" s="102"/>
      <c r="K37" s="72"/>
      <c r="L37" s="72"/>
      <c r="M37" s="72"/>
      <c r="N37" s="72"/>
      <c r="O37" s="72"/>
      <c r="P37" s="72"/>
      <c r="Q37" s="72"/>
      <c r="R37" s="72"/>
      <c r="S37" s="72"/>
      <c r="T37" s="72"/>
      <c r="U37" s="72"/>
      <c r="V37" s="72"/>
      <c r="W37" s="72"/>
    </row>
    <row r="38" spans="1:23" s="64" customFormat="1" ht="18.75" customHeight="1">
      <c r="A38" s="99"/>
      <c r="B38" s="99"/>
      <c r="C38" s="100" t="s">
        <v>141</v>
      </c>
      <c r="D38" s="101"/>
      <c r="E38" s="102"/>
      <c r="F38" s="102"/>
      <c r="G38" s="102">
        <f t="shared" ref="G38:W38" si="14">+G8</f>
        <v>432000</v>
      </c>
      <c r="H38" s="102">
        <f t="shared" si="14"/>
        <v>507060</v>
      </c>
      <c r="I38" s="102">
        <f t="shared" si="14"/>
        <v>966600</v>
      </c>
      <c r="J38" s="102">
        <f t="shared" si="14"/>
        <v>1183140</v>
      </c>
      <c r="K38" s="102">
        <f t="shared" si="14"/>
        <v>1275480</v>
      </c>
      <c r="L38" s="102">
        <f t="shared" si="14"/>
        <v>1322460</v>
      </c>
      <c r="M38" s="102">
        <f t="shared" si="14"/>
        <v>1348380</v>
      </c>
      <c r="N38" s="102">
        <f t="shared" si="14"/>
        <v>1367280</v>
      </c>
      <c r="O38" s="102">
        <f t="shared" si="14"/>
        <v>1386180</v>
      </c>
      <c r="P38" s="102">
        <f t="shared" si="14"/>
        <v>1423440</v>
      </c>
      <c r="Q38" s="102">
        <f t="shared" si="14"/>
        <v>1423440</v>
      </c>
      <c r="R38" s="102">
        <f t="shared" si="14"/>
        <v>1423440</v>
      </c>
      <c r="S38" s="102">
        <f t="shared" si="14"/>
        <v>1423440</v>
      </c>
      <c r="T38" s="102">
        <f t="shared" si="14"/>
        <v>1423440</v>
      </c>
      <c r="U38" s="102">
        <f t="shared" si="14"/>
        <v>1423440</v>
      </c>
      <c r="V38" s="102">
        <f t="shared" si="14"/>
        <v>1423440</v>
      </c>
      <c r="W38" s="102">
        <f t="shared" si="14"/>
        <v>1423440</v>
      </c>
    </row>
    <row r="39" spans="1:23" s="64" customFormat="1" ht="18.75" customHeight="1">
      <c r="A39" s="99"/>
      <c r="B39" s="103"/>
      <c r="C39" s="145" t="s">
        <v>41</v>
      </c>
      <c r="D39" s="101"/>
      <c r="E39" s="100"/>
      <c r="F39" s="100"/>
      <c r="G39" s="102"/>
      <c r="H39" s="102"/>
      <c r="I39" s="102"/>
      <c r="J39" s="102"/>
      <c r="K39" s="72"/>
      <c r="L39" s="72"/>
      <c r="M39" s="72"/>
      <c r="N39" s="72"/>
      <c r="O39" s="72"/>
      <c r="P39" s="72"/>
      <c r="Q39" s="72"/>
      <c r="R39" s="72"/>
      <c r="S39" s="72"/>
      <c r="T39" s="72"/>
      <c r="U39" s="72"/>
      <c r="V39" s="72"/>
      <c r="W39" s="72"/>
    </row>
    <row r="40" spans="1:23" s="64" customFormat="1" ht="18.75" customHeight="1">
      <c r="A40" s="99"/>
      <c r="B40" s="95" t="s">
        <v>139</v>
      </c>
      <c r="C40" s="100"/>
      <c r="D40" s="96"/>
      <c r="E40" s="97">
        <f>SUM(E41:E44)</f>
        <v>9400000</v>
      </c>
      <c r="F40" s="97"/>
      <c r="G40" s="97">
        <f>SUM(G41:G44)</f>
        <v>644800</v>
      </c>
      <c r="H40" s="97">
        <f>SUM(H41:H44)</f>
        <v>777960.33333333326</v>
      </c>
      <c r="I40" s="97">
        <f t="shared" ref="I40" si="15">SUM(I41:I44)</f>
        <v>810258.66666666674</v>
      </c>
      <c r="J40" s="97">
        <f t="shared" ref="J40" si="16">SUM(J41:J44)</f>
        <v>830407</v>
      </c>
      <c r="K40" s="98">
        <f t="shared" ref="K40" si="17">SUM(K41:K44)</f>
        <v>844512</v>
      </c>
      <c r="L40" s="98">
        <f t="shared" ref="L40" si="18">SUM(L41:L44)</f>
        <v>1136849</v>
      </c>
      <c r="M40" s="98">
        <f t="shared" ref="M40" si="19">SUM(M41:M44)</f>
        <v>1473937</v>
      </c>
      <c r="N40" s="98">
        <f t="shared" ref="N40" si="20">SUM(N41:N44)</f>
        <v>1146582</v>
      </c>
      <c r="O40" s="98">
        <f t="shared" ref="O40" si="21">SUM(O41:O44)</f>
        <v>1147527</v>
      </c>
      <c r="P40" s="98">
        <f t="shared" ref="P40" si="22">SUM(P41:P44)</f>
        <v>1149390</v>
      </c>
      <c r="Q40" s="98">
        <f t="shared" ref="Q40" si="23">SUM(Q41:Q44)</f>
        <v>1149390</v>
      </c>
      <c r="R40" s="98">
        <f t="shared" ref="R40" si="24">SUM(R41:R44)</f>
        <v>1149390</v>
      </c>
      <c r="S40" s="98">
        <f t="shared" ref="S40" si="25">SUM(S41:S44)</f>
        <v>1149390</v>
      </c>
      <c r="T40" s="98">
        <f t="shared" ref="T40" si="26">SUM(T41:T44)</f>
        <v>1149390</v>
      </c>
      <c r="U40" s="98">
        <f t="shared" ref="U40" si="27">SUM(U41:U44)</f>
        <v>1149390</v>
      </c>
      <c r="V40" s="98">
        <f t="shared" ref="V40" si="28">SUM(V41:V44)</f>
        <v>1149390</v>
      </c>
      <c r="W40" s="98">
        <f t="shared" ref="W40" si="29">SUM(W41:W44)</f>
        <v>1149390</v>
      </c>
    </row>
    <row r="41" spans="1:23" s="64" customFormat="1" ht="18.75" customHeight="1">
      <c r="A41" s="99"/>
      <c r="B41" s="99"/>
      <c r="C41" s="145" t="s">
        <v>135</v>
      </c>
      <c r="D41" s="101"/>
      <c r="E41" s="100"/>
      <c r="F41" s="100"/>
      <c r="G41" s="102">
        <v>100000</v>
      </c>
      <c r="H41" s="102">
        <v>100000</v>
      </c>
      <c r="I41" s="102">
        <v>100000</v>
      </c>
      <c r="J41" s="102">
        <v>100000</v>
      </c>
      <c r="K41" s="72">
        <v>100000</v>
      </c>
      <c r="L41" s="72">
        <v>100000</v>
      </c>
      <c r="M41" s="72">
        <v>100000</v>
      </c>
      <c r="N41" s="72">
        <v>100000</v>
      </c>
      <c r="O41" s="72">
        <v>100000</v>
      </c>
      <c r="P41" s="72">
        <v>100000</v>
      </c>
      <c r="Q41" s="72">
        <v>100000</v>
      </c>
      <c r="R41" s="72">
        <v>100000</v>
      </c>
      <c r="S41" s="72">
        <v>100000</v>
      </c>
      <c r="T41" s="72">
        <v>100000</v>
      </c>
      <c r="U41" s="72">
        <v>100000</v>
      </c>
      <c r="V41" s="72">
        <v>100000</v>
      </c>
      <c r="W41" s="72">
        <v>100000</v>
      </c>
    </row>
    <row r="42" spans="1:23" s="64" customFormat="1" ht="18.75" customHeight="1">
      <c r="A42" s="99"/>
      <c r="B42" s="99"/>
      <c r="C42" s="100" t="s">
        <v>142</v>
      </c>
      <c r="D42" s="101"/>
      <c r="E42" s="100"/>
      <c r="F42" s="100"/>
      <c r="G42" s="102">
        <f>+G12</f>
        <v>544800</v>
      </c>
      <c r="H42" s="102">
        <f t="shared" ref="H42:W42" si="30">+H12</f>
        <v>677960.33333333326</v>
      </c>
      <c r="I42" s="102">
        <f t="shared" si="30"/>
        <v>710258.66666666674</v>
      </c>
      <c r="J42" s="102">
        <f t="shared" si="30"/>
        <v>730407</v>
      </c>
      <c r="K42" s="102">
        <f t="shared" si="30"/>
        <v>744512</v>
      </c>
      <c r="L42" s="102">
        <f t="shared" si="30"/>
        <v>1036849</v>
      </c>
      <c r="M42" s="102">
        <f t="shared" si="30"/>
        <v>1373937</v>
      </c>
      <c r="N42" s="102">
        <f t="shared" si="30"/>
        <v>1046582</v>
      </c>
      <c r="O42" s="102">
        <f t="shared" si="30"/>
        <v>1047527</v>
      </c>
      <c r="P42" s="102">
        <f t="shared" si="30"/>
        <v>1049390</v>
      </c>
      <c r="Q42" s="102">
        <f t="shared" si="30"/>
        <v>1049390</v>
      </c>
      <c r="R42" s="102">
        <f t="shared" si="30"/>
        <v>1049390</v>
      </c>
      <c r="S42" s="102">
        <f t="shared" si="30"/>
        <v>1049390</v>
      </c>
      <c r="T42" s="102">
        <f t="shared" si="30"/>
        <v>1049390</v>
      </c>
      <c r="U42" s="102">
        <f t="shared" si="30"/>
        <v>1049390</v>
      </c>
      <c r="V42" s="102">
        <f t="shared" si="30"/>
        <v>1049390</v>
      </c>
      <c r="W42" s="102">
        <f t="shared" si="30"/>
        <v>1049390</v>
      </c>
    </row>
    <row r="43" spans="1:23" s="64" customFormat="1" ht="18.75" customHeight="1">
      <c r="A43" s="99"/>
      <c r="B43" s="99"/>
      <c r="C43" s="100" t="s">
        <v>140</v>
      </c>
      <c r="D43" s="101"/>
      <c r="E43" s="100">
        <f>+⑤初期投資一覧表!D32</f>
        <v>9400000</v>
      </c>
      <c r="F43" s="100"/>
      <c r="G43" s="102"/>
      <c r="H43" s="102"/>
      <c r="I43" s="102"/>
      <c r="J43" s="102"/>
      <c r="K43" s="72"/>
      <c r="L43" s="72"/>
      <c r="M43" s="72"/>
      <c r="N43" s="72"/>
      <c r="O43" s="72"/>
      <c r="P43" s="72"/>
      <c r="Q43" s="72"/>
      <c r="R43" s="72"/>
      <c r="S43" s="72"/>
      <c r="T43" s="72"/>
      <c r="U43" s="72"/>
      <c r="V43" s="72"/>
      <c r="W43" s="72"/>
    </row>
    <row r="44" spans="1:23" s="64" customFormat="1" ht="18.75" customHeight="1">
      <c r="A44" s="99"/>
      <c r="B44" s="103"/>
      <c r="C44" s="145" t="s">
        <v>41</v>
      </c>
      <c r="D44" s="101"/>
      <c r="E44" s="100"/>
      <c r="F44" s="100"/>
      <c r="G44" s="102"/>
      <c r="H44" s="102"/>
      <c r="I44" s="102"/>
      <c r="J44" s="102"/>
      <c r="K44" s="72"/>
      <c r="L44" s="72"/>
      <c r="M44" s="72"/>
      <c r="N44" s="72"/>
      <c r="O44" s="72"/>
      <c r="P44" s="72"/>
      <c r="Q44" s="72"/>
      <c r="R44" s="72"/>
      <c r="S44" s="72"/>
      <c r="T44" s="72"/>
      <c r="U44" s="72"/>
      <c r="V44" s="72"/>
      <c r="W44" s="72"/>
    </row>
    <row r="45" spans="1:23" ht="21" customHeight="1">
      <c r="A45" s="187" t="s">
        <v>136</v>
      </c>
      <c r="B45" s="186"/>
      <c r="C45" s="186"/>
      <c r="D45" s="188"/>
      <c r="E45" s="185">
        <f>+E35+E36-E40</f>
        <v>100000</v>
      </c>
      <c r="F45" s="185"/>
      <c r="G45" s="185">
        <f>+G35+G36-G40</f>
        <v>-112800</v>
      </c>
      <c r="H45" s="185">
        <f t="shared" ref="H45:W45" si="31">+H35+H36-H40</f>
        <v>-383700.33333333326</v>
      </c>
      <c r="I45" s="185">
        <f t="shared" si="31"/>
        <v>-227359</v>
      </c>
      <c r="J45" s="185">
        <f t="shared" si="31"/>
        <v>125374</v>
      </c>
      <c r="K45" s="185">
        <f t="shared" si="31"/>
        <v>556342</v>
      </c>
      <c r="L45" s="185">
        <f t="shared" si="31"/>
        <v>741953</v>
      </c>
      <c r="M45" s="185">
        <f t="shared" si="31"/>
        <v>616396</v>
      </c>
      <c r="N45" s="185">
        <f t="shared" si="31"/>
        <v>837094</v>
      </c>
      <c r="O45" s="185">
        <f t="shared" si="31"/>
        <v>1075747</v>
      </c>
      <c r="P45" s="185">
        <f t="shared" si="31"/>
        <v>1349797</v>
      </c>
      <c r="Q45" s="185">
        <f t="shared" si="31"/>
        <v>1623847</v>
      </c>
      <c r="R45" s="185">
        <f t="shared" si="31"/>
        <v>1897897</v>
      </c>
      <c r="S45" s="185">
        <f t="shared" si="31"/>
        <v>2171947</v>
      </c>
      <c r="T45" s="185">
        <f t="shared" si="31"/>
        <v>2445997</v>
      </c>
      <c r="U45" s="185">
        <f t="shared" si="31"/>
        <v>2720047</v>
      </c>
      <c r="V45" s="185">
        <f t="shared" si="31"/>
        <v>2994097</v>
      </c>
      <c r="W45" s="185">
        <f t="shared" si="31"/>
        <v>3268147</v>
      </c>
    </row>
    <row r="46" spans="1:23" ht="18.75" customHeight="1">
      <c r="D46" s="111"/>
      <c r="E46" s="58"/>
      <c r="F46" s="58"/>
    </row>
    <row r="47" spans="1:23" ht="18.75" customHeight="1">
      <c r="D47" s="111"/>
      <c r="E47" s="58"/>
      <c r="F47" s="58"/>
    </row>
    <row r="48" spans="1:23" ht="18.75" customHeight="1">
      <c r="G48" s="93"/>
      <c r="H48" s="93"/>
      <c r="I48" s="93"/>
      <c r="J48" s="93"/>
      <c r="K48" s="93"/>
      <c r="L48" s="93"/>
    </row>
    <row r="49" spans="7:12" ht="18.75" customHeight="1">
      <c r="G49" s="93"/>
      <c r="H49" s="93"/>
      <c r="I49" s="93"/>
      <c r="J49" s="93"/>
      <c r="K49" s="93"/>
      <c r="L49" s="93"/>
    </row>
  </sheetData>
  <mergeCells count="10">
    <mergeCell ref="A28:D28"/>
    <mergeCell ref="A8:D8"/>
    <mergeCell ref="A12:D12"/>
    <mergeCell ref="A2:E2"/>
    <mergeCell ref="C16:D16"/>
    <mergeCell ref="C15:D15"/>
    <mergeCell ref="C14:D14"/>
    <mergeCell ref="C11:D11"/>
    <mergeCell ref="C10:D10"/>
    <mergeCell ref="C9:D9"/>
  </mergeCells>
  <phoneticPr fontId="2"/>
  <conditionalFormatting sqref="H22:W22">
    <cfRule type="expression" dxfId="3" priority="9">
      <formula>$G$22=""</formula>
    </cfRule>
  </conditionalFormatting>
  <conditionalFormatting sqref="M25">
    <cfRule type="expression" dxfId="2" priority="4">
      <formula>$M$25=""</formula>
    </cfRule>
  </conditionalFormatting>
  <conditionalFormatting sqref="H26:W26">
    <cfRule type="expression" dxfId="1" priority="3">
      <formula>$G$25=""</formula>
    </cfRule>
  </conditionalFormatting>
  <conditionalFormatting sqref="G15:W15">
    <cfRule type="expression" dxfId="0" priority="1">
      <formula>$G$19=""</formula>
    </cfRule>
  </conditionalFormatting>
  <pageMargins left="0.70866141732283472" right="0.70866141732283472" top="0.74803149606299213" bottom="0.74803149606299213" header="0.31496062992125984" footer="0.31496062992125984"/>
  <pageSetup paperSize="9" scale="66" fitToHeight="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①基礎情報</vt:lpstr>
      <vt:lpstr>②職務経歴概要</vt:lpstr>
      <vt:lpstr>③売上・原価</vt:lpstr>
      <vt:lpstr>④人件費</vt:lpstr>
      <vt:lpstr>⑤初期投資一覧表</vt:lpstr>
      <vt:lpstr>⑥設備一覧表</vt:lpstr>
      <vt:lpstr>⑦損益シミュレーション</vt:lpstr>
      <vt:lpstr>⑧資金シミュレーション </vt:lpstr>
      <vt:lpstr>①基礎情報!Print_Area</vt:lpstr>
      <vt:lpstr>②職務経歴概要!Print_Area</vt:lpstr>
      <vt:lpstr>③売上・原価!Print_Area</vt:lpstr>
      <vt:lpstr>④人件費!Print_Area</vt:lpstr>
      <vt:lpstr>⑤初期投資一覧表!Print_Area</vt:lpstr>
      <vt:lpstr>⑥設備一覧表!Print_Area</vt:lpstr>
      <vt:lpstr>⑦損益シミュレーション!Print_Area</vt:lpstr>
      <vt:lpstr>'⑧資金シミュレーション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吉井英人</dc:creator>
  <cp:lastModifiedBy>yayoi</cp:lastModifiedBy>
  <cp:lastPrinted>2016-11-17T05:26:15Z</cp:lastPrinted>
  <dcterms:created xsi:type="dcterms:W3CDTF">2015-05-12T07:51:55Z</dcterms:created>
  <dcterms:modified xsi:type="dcterms:W3CDTF">2016-12-21T02:38:51Z</dcterms:modified>
</cp:coreProperties>
</file>